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Main Sheet" sheetId="1" r:id="rId1"/>
    <sheet name="Members" sheetId="2" r:id="rId2"/>
    <sheet name="Marketing" sheetId="3" r:id="rId3"/>
    <sheet name="GK Budget" sheetId="4" r:id="rId4"/>
    <sheet name="Groundstaff salary and catg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Usuario</author>
  </authors>
  <commentList>
    <comment ref="D17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AVG between couple and single entry fee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A33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This is through a Government grant and we will get the money back this year. This amount is will provide the service for 2 years. With this module we will remove Mailchimp and also the tee panel payment we were already doing</t>
        </r>
      </text>
    </comment>
    <comment ref="A48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depending on the feedback we get from Touroperators we might decide not to attend.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K16" authorId="0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Over 2 years</t>
        </r>
      </text>
    </comment>
    <comment ref="K17" authorId="0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over 2 years spread
</t>
        </r>
      </text>
    </comment>
  </commentList>
</comments>
</file>

<file path=xl/sharedStrings.xml><?xml version="1.0" encoding="utf-8"?>
<sst xmlns="http://schemas.openxmlformats.org/spreadsheetml/2006/main" count="317" uniqueCount="209">
  <si>
    <t>BUDGET 2022</t>
  </si>
  <si>
    <t>ACTUAL ESTIMATION 2025</t>
  </si>
  <si>
    <t>BUDGET 2025</t>
  </si>
  <si>
    <t>2025 with December estimated</t>
  </si>
  <si>
    <t>%  Variance 2024 v 2023 Budgets</t>
  </si>
  <si>
    <t xml:space="preserve">Variance 2026 v 2025 </t>
  </si>
  <si>
    <t>BUDGET 2026</t>
  </si>
  <si>
    <t>JAN</t>
  </si>
  <si>
    <t>FEB</t>
  </si>
  <si>
    <t>MAR</t>
  </si>
  <si>
    <t>APRIL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</si>
  <si>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</si>
  <si>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</si>
  <si>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</si>
  <si>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</si>
  <si>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</si>
  <si>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</si>
  <si>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</si>
  <si>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</si>
  <si>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</si>
  <si>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Members All Categories</t>
  </si>
  <si>
    <t>Buggy fees Members</t>
  </si>
  <si>
    <t>Lockers</t>
  </si>
  <si>
    <t>Entrance fees</t>
  </si>
  <si>
    <t>Introductory members</t>
  </si>
  <si>
    <t xml:space="preserve">TOTAL MEMBERS </t>
  </si>
  <si>
    <t>Green fees and temporary passes</t>
  </si>
  <si>
    <t>Buggies</t>
  </si>
  <si>
    <t>Trolleys</t>
  </si>
  <si>
    <t>Club Rental</t>
  </si>
  <si>
    <t>TOTAL VISITORS</t>
  </si>
  <si>
    <t>2025 visitor income (for reference)</t>
  </si>
  <si>
    <t>Difference with 2024</t>
  </si>
  <si>
    <t>Difference % with 2025</t>
  </si>
  <si>
    <t>Pro shop rent</t>
  </si>
  <si>
    <t>Restaurant rent</t>
  </si>
  <si>
    <t>Driving range</t>
  </si>
  <si>
    <t>Advertising on course</t>
  </si>
  <si>
    <t>TOTAL MINI BUSINESS</t>
  </si>
  <si>
    <t>Bank interest</t>
  </si>
  <si>
    <t>TOTAL INCOME</t>
  </si>
  <si>
    <t>EXPENSES</t>
  </si>
  <si>
    <t>Salaries permanent   (Exc Restaurant)</t>
  </si>
  <si>
    <t>Salary proposal 2026 with 4 % increase + FD + GK - Laura</t>
  </si>
  <si>
    <t xml:space="preserve">January Bonus 600€ </t>
  </si>
  <si>
    <t>Salary temp ground staff x 2</t>
  </si>
  <si>
    <t>Salaries social Security</t>
  </si>
  <si>
    <t>Overtime groundstaff</t>
  </si>
  <si>
    <t>Overtime projects</t>
  </si>
  <si>
    <t>Staff Training green staff</t>
  </si>
  <si>
    <t>TOTAL SALARIES</t>
  </si>
  <si>
    <t>trolley rental</t>
  </si>
  <si>
    <t xml:space="preserve">Buggy maintenance </t>
  </si>
  <si>
    <t>Vehicle/Fuel expenses</t>
  </si>
  <si>
    <t>TOTAL VARIABLES</t>
  </si>
  <si>
    <t>R &amp; M Course</t>
  </si>
  <si>
    <t>R &amp; M Non course</t>
  </si>
  <si>
    <t>Electricity/Water/Gas</t>
  </si>
  <si>
    <t>TOTAL SERVICES</t>
  </si>
  <si>
    <t>Pub.&amp; Marketing</t>
  </si>
  <si>
    <t>Sundry expenses</t>
  </si>
  <si>
    <t>Tel/Fax/Stationary/printers etc.</t>
  </si>
  <si>
    <t xml:space="preserve">Legal,Gest, surtec, insur </t>
  </si>
  <si>
    <t>Rates,Taxes Com.fees</t>
  </si>
  <si>
    <t>TOTAL BACK OFFICE</t>
  </si>
  <si>
    <t>Depreciation</t>
  </si>
  <si>
    <t>P&amp;L on disposal assets</t>
  </si>
  <si>
    <t>Interest Cost</t>
  </si>
  <si>
    <t>Bad debt Expense</t>
  </si>
  <si>
    <t>Credit card charges</t>
  </si>
  <si>
    <t>Other Bank charges</t>
  </si>
  <si>
    <t>FINANCE CHARGES</t>
  </si>
  <si>
    <t>TOTAL EXPENDITURE</t>
  </si>
  <si>
    <t xml:space="preserve">  </t>
  </si>
  <si>
    <t>Trading Profit / (Loss)</t>
  </si>
  <si>
    <t>Project Expend.Revenue</t>
  </si>
  <si>
    <t>Net Profit/ (Loss)</t>
  </si>
  <si>
    <t>Increase in staff salary per year (included above)</t>
  </si>
  <si>
    <t>2026 fee</t>
  </si>
  <si>
    <t>Total</t>
  </si>
  <si>
    <t>Number</t>
  </si>
  <si>
    <t>without IVA</t>
  </si>
  <si>
    <t>with IVA</t>
  </si>
  <si>
    <t>Exc. IVA</t>
  </si>
  <si>
    <t>EPGC Full Members</t>
  </si>
  <si>
    <t>Anual</t>
  </si>
  <si>
    <t>Per month</t>
  </si>
  <si>
    <t>Overseas Members</t>
  </si>
  <si>
    <t>Honorary</t>
  </si>
  <si>
    <t xml:space="preserve">Inactive </t>
  </si>
  <si>
    <t>Life Overseas</t>
  </si>
  <si>
    <t>Passive</t>
  </si>
  <si>
    <t>Sabatical</t>
  </si>
  <si>
    <t>Introductory</t>
  </si>
  <si>
    <t>Introductory U</t>
  </si>
  <si>
    <t>Introductory L</t>
  </si>
  <si>
    <t>Total Exc IVA</t>
  </si>
  <si>
    <t>Entrance Fee</t>
  </si>
  <si>
    <t>Budget 2026</t>
  </si>
  <si>
    <t>APL</t>
  </si>
  <si>
    <t>Marketing &amp; Advertising Budget:</t>
  </si>
  <si>
    <t>Billboard by Dama de Noche Golf Course</t>
  </si>
  <si>
    <t>Repriting billboards vinyl</t>
  </si>
  <si>
    <t>Tourism Board asccociation fee</t>
  </si>
  <si>
    <t>Andalucian Federation course book</t>
  </si>
  <si>
    <t>Website, graphic designer and social media</t>
  </si>
  <si>
    <t>Google ad words</t>
  </si>
  <si>
    <t>Facebook adds</t>
  </si>
  <si>
    <t xml:space="preserve">DANISH GOLF SHOW (Herning) Ferie for Alle </t>
  </si>
  <si>
    <t>Makta Fair Helsinki 2026  (David)</t>
  </si>
  <si>
    <t>Nordic Golf Expo(David)</t>
  </si>
  <si>
    <t>SCOTTISH GOLF SHOW (Robert)</t>
  </si>
  <si>
    <t>KLM And Paris (Robert)</t>
  </si>
  <si>
    <t>AEGG MEMBERSHIP</t>
  </si>
  <si>
    <t>IAGTO TROPHY</t>
  </si>
  <si>
    <t>Budget 2025 (for reference)</t>
  </si>
  <si>
    <t>Marketing Plan</t>
  </si>
  <si>
    <t>CRM Module and Smart Panel (government Grant)</t>
  </si>
  <si>
    <t>Bus Sign N340</t>
  </si>
  <si>
    <t>DANISH GOLF SHOW (Herning) Ferie for Alle  (Chaparral and Guadalhorce split)</t>
  </si>
  <si>
    <t xml:space="preserve">Makta Fair Helsinki 2026  </t>
  </si>
  <si>
    <t xml:space="preserve">NORDEA (Sweden) Scandinavian Masters </t>
  </si>
  <si>
    <t>SCOTTISH GOLF SHOW</t>
  </si>
  <si>
    <t>KLM OPEN</t>
  </si>
  <si>
    <t>International Golf Travel Market IGTM Cannes</t>
  </si>
  <si>
    <t>Family</t>
  </si>
  <si>
    <t>Subfamily</t>
  </si>
  <si>
    <t>DetalleSubcuenta</t>
  </si>
  <si>
    <t>Actual</t>
  </si>
  <si>
    <t>Dif.2025</t>
  </si>
  <si>
    <t>Costs to Maintain Service</t>
  </si>
  <si>
    <t>Rep &amp; maintenance course</t>
  </si>
  <si>
    <t>62200001-SAFETY EQUIPMENT</t>
  </si>
  <si>
    <t>62200002-R &amp; M / FERTILISERS</t>
  </si>
  <si>
    <t>62200004-R &amp; M / HERBICIDES</t>
  </si>
  <si>
    <t>62200006-R &amp; M / INSECTICIDES</t>
  </si>
  <si>
    <t>62200007-R &amp; M / FUNGICIDES</t>
  </si>
  <si>
    <t>62200008-R &amp; M / IRRIGATION MAINTENANCE</t>
  </si>
  <si>
    <t>62200009-R &amp; M / UNIFORMES</t>
  </si>
  <si>
    <t>62200010-REP EXTERNAL  (PROJECT)</t>
  </si>
  <si>
    <t>62200011-R &amp; M / MECHANIC WORKSHOP UPGRADE</t>
  </si>
  <si>
    <t>62200013-R &amp; M / TOOLS</t>
  </si>
  <si>
    <t>62200014-R &amp; M / PAINT FOR FAIRWAYS &amp; MARKING COURSE / SAND</t>
  </si>
  <si>
    <t>62200015-R &amp; M / CONSTRUCTION MATERIALS</t>
  </si>
  <si>
    <t>62200016-R &amp; M / MECHANICAL SPARES</t>
  </si>
  <si>
    <t>62200017-R &amp; M / PRUNING CONTRACTOR</t>
  </si>
  <si>
    <t>62200018-R &amp; M / EXTERNAL SERVICES</t>
  </si>
  <si>
    <t>62200019-SUNDRY COURSE ITEMS</t>
  </si>
  <si>
    <t>62200021-R&amp;M 1ST HOLE FAIRWAY &amp; ANTI GREEN</t>
  </si>
  <si>
    <t>62200023-R &amp; M / SEEDS &amp; TURF</t>
  </si>
  <si>
    <t>62200024-R &amp; M EXPENDABLE SUPPLIES WORKSHOP</t>
  </si>
  <si>
    <t>62200029-R &amp; M FENCING &amp; GATES</t>
  </si>
  <si>
    <t>62200047-REPLACEMENT OF 57 SPRINKLER HEADS</t>
  </si>
  <si>
    <t>62200048-CLEAR DEBRI FROM OLD TURF NURSERY</t>
  </si>
  <si>
    <t>62200049-R&amp;M DITCHES CLEAN UP</t>
  </si>
  <si>
    <t>62200054-R &amp; M DRIVING RANGE IMPROVEMENTS</t>
  </si>
  <si>
    <t>62200070-SAND</t>
  </si>
  <si>
    <t>62200078-R&amp;M RE HOLLOWTYNING</t>
  </si>
  <si>
    <t>62200101-NEW TREES</t>
  </si>
  <si>
    <t>62200126-BUGGY PATH REPAIR HOLE 2</t>
  </si>
  <si>
    <t>62200142-GOLF COURSE CONSULTANCY</t>
  </si>
  <si>
    <t>62200152-NATIVE AREAS</t>
  </si>
  <si>
    <t>Services (electric, water)</t>
  </si>
  <si>
    <t>62800001-ELECTRICIDAD</t>
  </si>
  <si>
    <t>62800003-AGUA</t>
  </si>
  <si>
    <t>Empresa:  670-EL PARAISO GOLF CLUB SA NIF: A29110723</t>
  </si>
  <si>
    <t>Centro:    1-EL PARAISO GOLF CLUB SA  (GREE STAFF)</t>
  </si>
  <si>
    <t>TRABAJADOR</t>
  </si>
  <si>
    <t>Start Date</t>
  </si>
  <si>
    <t>Comments</t>
  </si>
  <si>
    <t>2025 Gross</t>
  </si>
  <si>
    <t>Proposed gross  2026</t>
  </si>
  <si>
    <t>Difference</t>
  </si>
  <si>
    <t>S.S. Bruto Anual (33,57%)</t>
  </si>
  <si>
    <t>Extra hours(18 €)</t>
  </si>
  <si>
    <t>S.S. Horas Extras (00,00%)</t>
  </si>
  <si>
    <t>Bonus Anual</t>
  </si>
  <si>
    <t>CT Anual</t>
  </si>
  <si>
    <t>Greenkeeper</t>
  </si>
  <si>
    <t>ESCRIBANO DE LA ROSA, EUGENIO</t>
  </si>
  <si>
    <t>Head GK</t>
  </si>
  <si>
    <t>Encargado</t>
  </si>
  <si>
    <t>PEREZ MENA, DAVID</t>
  </si>
  <si>
    <t>GK Assistant</t>
  </si>
  <si>
    <t>Oficial de 1ª</t>
  </si>
  <si>
    <t>MACIAS CARRILLO, FEDERICO</t>
  </si>
  <si>
    <t>Irrigation Foreman</t>
  </si>
  <si>
    <t>Mechanic (vacant)</t>
  </si>
  <si>
    <t>Oficiales de 2ª     (5 Workers)</t>
  </si>
  <si>
    <t>MARQUEZ MACIA, FRANCISCO J.</t>
  </si>
  <si>
    <t>GUERRERO PEREZ, DANIEL</t>
  </si>
  <si>
    <t>Union Rep</t>
  </si>
  <si>
    <t>CALVENTE GIL, JUAN CARLOS</t>
  </si>
  <si>
    <t>Oficiales de 3ª     (5 Workers)</t>
  </si>
  <si>
    <t>DOÑA PUERTA, JULIAN</t>
  </si>
  <si>
    <t>MENA MAESTRE, DIEGO F.</t>
  </si>
  <si>
    <r>
      <rPr>
        <b/>
        <sz val="10"/>
        <color theme="1"/>
        <rFont val="Arial"/>
        <charset val="134"/>
      </rPr>
      <t xml:space="preserve">SANCHEZ SANCHEZ, SALVADOR  </t>
    </r>
    <r>
      <rPr>
        <b/>
        <sz val="10"/>
        <color indexed="10"/>
        <rFont val="Arial"/>
        <charset val="134"/>
      </rPr>
      <t xml:space="preserve"> (Sprayer)</t>
    </r>
  </si>
  <si>
    <t>Union rep</t>
  </si>
  <si>
    <t>Vacant</t>
  </si>
  <si>
    <t>Peones                (6 workers)</t>
  </si>
  <si>
    <t>SALAZAR DELGADO, A. LUIS</t>
  </si>
  <si>
    <t>he is part time temporaily</t>
  </si>
  <si>
    <t>MUÑOZ GONZALEZ, SERGIO</t>
  </si>
  <si>
    <t>GUERRERO ACEVEDO, JAIME</t>
  </si>
  <si>
    <t>CARRASCO MENA, MIGUEL</t>
  </si>
  <si>
    <t>ALTIER LOPEZ, JUAN JOSE</t>
  </si>
  <si>
    <t>SALADO BRACHO, JUAN ANTONIO</t>
  </si>
  <si>
    <t>MORENO PIÑA, JUAN LUIS</t>
  </si>
  <si>
    <t>TOTAL CENTRO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</si>
</sst>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176" formatCode="_-* #,##0.00\ &quot;€&quot;_-;\-* #,##0.00\ &quot;€&quot;_-;_-* &quot;-&quot;??\ &quot;€&quot;_-;_-@_-"/>
    <numFmt numFmtId="177" formatCode="dd\-mm\-yy;@"/>
    <numFmt numFmtId="178" formatCode="#,###,##0.00;\-#,###,##0.00;"/>
    <numFmt numFmtId="179" formatCode="_-* #,##0\ &quot;€&quot;_-;\-* #,##0\ &quot;€&quot;_-;_-* &quot;-&quot;??\ &quot;€&quot;_-;_-@_-"/>
    <numFmt numFmtId="180" formatCode="#,###,##0.000;\-#,###,##0.000;"/>
    <numFmt numFmtId="181" formatCode="#,###,##0.0;\-#,###,##0.0;"/>
    <numFmt numFmtId="182" formatCode="&quot;€&quot;\ #,##0;\-&quot;€&quot;\ #,##0;&quot;€&quot;\ #,##0"/>
    <numFmt numFmtId="183" formatCode="0_ ;\-0\ "/>
    <numFmt numFmtId="184" formatCode="0.0"/>
    <numFmt numFmtId="185" formatCode="0_);[Red]\(0\)"/>
    <numFmt numFmtId="186" formatCode="0.0%"/>
    <numFmt numFmtId="187" formatCode="0&quot; &quot;;[Red]&quot;(&quot;0&quot;)&quot;"/>
    <numFmt numFmtId="188" formatCode="0_);[Red]\(0.0%\)"/>
    <numFmt numFmtId="189" formatCode="_-* #,##0\ &quot;£&quot;_-;\-* #,##0\ &quot;£&quot;_-;_-* &quot;-&quot;??\ &quot;£&quot;_-;_-@_-"/>
  </numFmts>
  <fonts count="54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rgb="FFFF0000"/>
      <name val="Arial"/>
      <charset val="134"/>
    </font>
    <font>
      <sz val="11"/>
      <color theme="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name val="Arial"/>
      <charset val="134"/>
    </font>
    <font>
      <b/>
      <sz val="11"/>
      <color indexed="8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rgb="FF000000"/>
      <name val="Calibri"/>
      <charset val="134"/>
    </font>
    <font>
      <i/>
      <sz val="1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i/>
      <sz val="10"/>
      <name val="Arial"/>
      <charset val="134"/>
    </font>
    <font>
      <u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</font>
    <font>
      <b/>
      <u/>
      <sz val="11"/>
      <name val="Calibri"/>
      <charset val="134"/>
      <scheme val="minor"/>
    </font>
    <font>
      <sz val="11"/>
      <color rgb="FFFF0000"/>
      <name val="Calibri"/>
      <charset val="134"/>
    </font>
    <font>
      <b/>
      <i/>
      <sz val="11"/>
      <name val="Calibri"/>
      <charset val="134"/>
      <scheme val="minor"/>
    </font>
    <font>
      <b/>
      <i/>
      <sz val="10"/>
      <name val="Arial"/>
      <charset val="134"/>
    </font>
    <font>
      <b/>
      <sz val="10"/>
      <name val="Open Sans"/>
      <charset val="134"/>
    </font>
    <font>
      <sz val="10"/>
      <name val="Open San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  <font>
      <b/>
      <sz val="10"/>
      <color indexed="10"/>
      <name val="Arial"/>
      <charset val="134"/>
    </font>
    <font>
      <sz val="9"/>
      <color rgb="FF000000"/>
      <name val="Tahoma"/>
      <charset val="134"/>
    </font>
    <font>
      <b/>
      <sz val="9"/>
      <color rgb="FF000000"/>
      <name val="Tahoma"/>
      <charset val="134"/>
    </font>
    <font>
      <b/>
      <sz val="9"/>
      <name val="Tahoma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8" borderId="4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52" applyNumberFormat="0" applyAlignment="0" applyProtection="0">
      <alignment vertical="center"/>
    </xf>
    <xf numFmtId="0" fontId="38" fillId="10" borderId="53" applyNumberFormat="0" applyAlignment="0" applyProtection="0">
      <alignment vertical="center"/>
    </xf>
    <xf numFmtId="0" fontId="39" fillId="10" borderId="52" applyNumberFormat="0" applyAlignment="0" applyProtection="0">
      <alignment vertical="center"/>
    </xf>
    <xf numFmtId="0" fontId="40" fillId="11" borderId="54" applyNumberFormat="0" applyAlignment="0" applyProtection="0">
      <alignment vertical="center"/>
    </xf>
    <xf numFmtId="0" fontId="41" fillId="0" borderId="55" applyNumberFormat="0" applyFill="0" applyAlignment="0" applyProtection="0">
      <alignment vertical="center"/>
    </xf>
    <xf numFmtId="0" fontId="42" fillId="0" borderId="56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" fillId="0" borderId="0"/>
    <xf numFmtId="0" fontId="48" fillId="0" borderId="0"/>
  </cellStyleXfs>
  <cellXfs count="2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2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9" fontId="1" fillId="0" borderId="4" xfId="2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7" fontId="1" fillId="0" borderId="8" xfId="0" applyNumberFormat="1" applyFont="1" applyBorder="1" applyAlignment="1">
      <alignment horizontal="center" vertical="center"/>
    </xf>
    <xf numFmtId="176" fontId="1" fillId="0" borderId="8" xfId="2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9" fontId="1" fillId="2" borderId="10" xfId="2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6" fontId="1" fillId="2" borderId="6" xfId="2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9" fontId="1" fillId="2" borderId="12" xfId="2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177" fontId="1" fillId="2" borderId="14" xfId="0" applyNumberFormat="1" applyFont="1" applyFill="1" applyBorder="1" applyAlignment="1">
      <alignment horizontal="center" vertical="center"/>
    </xf>
    <xf numFmtId="176" fontId="3" fillId="2" borderId="14" xfId="2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79" fontId="1" fillId="0" borderId="10" xfId="2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79" fontId="1" fillId="0" borderId="16" xfId="2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77" fontId="1" fillId="0" borderId="18" xfId="0" applyNumberFormat="1" applyFont="1" applyBorder="1" applyAlignment="1">
      <alignment horizontal="center" vertical="center"/>
    </xf>
    <xf numFmtId="176" fontId="1" fillId="0" borderId="18" xfId="2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horizontal="center" vertical="center"/>
    </xf>
    <xf numFmtId="176" fontId="1" fillId="2" borderId="18" xfId="2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176" fontId="4" fillId="0" borderId="18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9" fontId="1" fillId="0" borderId="12" xfId="2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1" fillId="2" borderId="14" xfId="2" applyFont="1" applyFill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79" fontId="1" fillId="2" borderId="16" xfId="2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center" vertical="center"/>
    </xf>
    <xf numFmtId="176" fontId="1" fillId="0" borderId="14" xfId="2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77" fontId="1" fillId="0" borderId="20" xfId="0" applyNumberFormat="1" applyFont="1" applyBorder="1" applyAlignment="1">
      <alignment horizontal="center" vertical="center"/>
    </xf>
    <xf numFmtId="176" fontId="1" fillId="0" borderId="20" xfId="2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76" fontId="1" fillId="0" borderId="0" xfId="2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78" fontId="2" fillId="0" borderId="25" xfId="0" applyNumberFormat="1" applyFont="1" applyBorder="1" applyAlignment="1">
      <alignment vertical="center"/>
    </xf>
    <xf numFmtId="9" fontId="2" fillId="0" borderId="8" xfId="3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9" fontId="2" fillId="0" borderId="6" xfId="3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23" xfId="0" applyNumberFormat="1" applyFont="1" applyFill="1" applyBorder="1" applyAlignment="1">
      <alignment vertical="center"/>
    </xf>
    <xf numFmtId="178" fontId="2" fillId="2" borderId="27" xfId="0" applyNumberFormat="1" applyFont="1" applyFill="1" applyBorder="1" applyAlignment="1">
      <alignment vertical="center"/>
    </xf>
    <xf numFmtId="9" fontId="2" fillId="0" borderId="14" xfId="3" applyFont="1" applyBorder="1" applyAlignment="1">
      <alignment horizontal="center" vertical="center"/>
    </xf>
    <xf numFmtId="178" fontId="2" fillId="2" borderId="14" xfId="0" applyNumberFormat="1" applyFont="1" applyFill="1" applyBorder="1" applyAlignment="1">
      <alignment vertical="center"/>
    </xf>
    <xf numFmtId="178" fontId="2" fillId="2" borderId="28" xfId="0" applyNumberFormat="1" applyFont="1" applyFill="1" applyBorder="1" applyAlignment="1">
      <alignment vertical="center"/>
    </xf>
    <xf numFmtId="178" fontId="2" fillId="2" borderId="29" xfId="0" applyNumberFormat="1" applyFont="1" applyFill="1" applyBorder="1" applyAlignment="1">
      <alignment vertical="center"/>
    </xf>
    <xf numFmtId="178" fontId="2" fillId="0" borderId="27" xfId="0" applyNumberFormat="1" applyFont="1" applyBorder="1" applyAlignment="1">
      <alignment vertical="center"/>
    </xf>
    <xf numFmtId="9" fontId="2" fillId="0" borderId="18" xfId="3" applyFont="1" applyBorder="1" applyAlignment="1">
      <alignment horizontal="center" vertical="center"/>
    </xf>
    <xf numFmtId="178" fontId="2" fillId="2" borderId="18" xfId="0" applyNumberFormat="1" applyFont="1" applyFill="1" applyBorder="1" applyAlignment="1">
      <alignment horizontal="center" vertical="center"/>
    </xf>
    <xf numFmtId="178" fontId="2" fillId="2" borderId="18" xfId="0" applyNumberFormat="1" applyFont="1" applyFill="1" applyBorder="1" applyAlignment="1">
      <alignment vertical="center"/>
    </xf>
    <xf numFmtId="178" fontId="2" fillId="0" borderId="30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178" fontId="2" fillId="2" borderId="30" xfId="0" applyNumberFormat="1" applyFont="1" applyFill="1" applyBorder="1" applyAlignment="1">
      <alignment vertical="center"/>
    </xf>
    <xf numFmtId="178" fontId="2" fillId="2" borderId="31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178" fontId="2" fillId="0" borderId="28" xfId="0" applyNumberFormat="1" applyFont="1" applyBorder="1" applyAlignment="1">
      <alignment vertical="center"/>
    </xf>
    <xf numFmtId="178" fontId="2" fillId="0" borderId="29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9" fontId="2" fillId="0" borderId="20" xfId="3" applyFont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vertical="center"/>
    </xf>
    <xf numFmtId="178" fontId="2" fillId="0" borderId="32" xfId="0" applyNumberFormat="1" applyFont="1" applyBorder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vertical="center"/>
    </xf>
    <xf numFmtId="178" fontId="2" fillId="0" borderId="3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178" fontId="1" fillId="3" borderId="0" xfId="0" applyNumberFormat="1" applyFont="1" applyFill="1" applyAlignment="1">
      <alignment vertic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36" xfId="0" applyBorder="1"/>
    <xf numFmtId="182" fontId="6" fillId="0" borderId="0" xfId="0" applyNumberFormat="1" applyFont="1" applyAlignment="1">
      <alignment horizontal="center"/>
    </xf>
    <xf numFmtId="182" fontId="6" fillId="4" borderId="0" xfId="0" applyNumberFormat="1" applyFont="1" applyFill="1" applyAlignment="1">
      <alignment horizontal="center"/>
    </xf>
    <xf numFmtId="0" fontId="6" fillId="0" borderId="36" xfId="0" applyFont="1" applyBorder="1"/>
    <xf numFmtId="182" fontId="0" fillId="0" borderId="0" xfId="0" applyNumberFormat="1" applyAlignment="1">
      <alignment horizontal="center"/>
    </xf>
    <xf numFmtId="182" fontId="0" fillId="4" borderId="0" xfId="0" applyNumberFormat="1" applyFill="1" applyAlignment="1">
      <alignment horizontal="center"/>
    </xf>
    <xf numFmtId="0" fontId="7" fillId="0" borderId="36" xfId="0" applyFont="1" applyBorder="1"/>
    <xf numFmtId="182" fontId="8" fillId="4" borderId="0" xfId="0" applyNumberFormat="1" applyFont="1" applyFill="1" applyAlignment="1">
      <alignment horizontal="center"/>
    </xf>
    <xf numFmtId="1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83" fontId="11" fillId="0" borderId="0" xfId="2" applyNumberFormat="1" applyFont="1" applyBorder="1" applyAlignment="1">
      <alignment horizontal="center" vertical="center"/>
    </xf>
    <xf numFmtId="179" fontId="0" fillId="0" borderId="0" xfId="2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" fontId="11" fillId="0" borderId="37" xfId="0" applyNumberFormat="1" applyFont="1" applyBorder="1" applyAlignment="1">
      <alignment horizontal="center"/>
    </xf>
    <xf numFmtId="1" fontId="0" fillId="5" borderId="38" xfId="0" applyNumberForma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83" fontId="0" fillId="0" borderId="0" xfId="2" applyNumberFormat="1" applyFont="1" applyBorder="1" applyAlignment="1">
      <alignment horizontal="right" vertical="center"/>
    </xf>
    <xf numFmtId="0" fontId="11" fillId="6" borderId="0" xfId="0" applyFont="1" applyFill="1"/>
    <xf numFmtId="1" fontId="0" fillId="5" borderId="0" xfId="0" applyNumberFormat="1" applyFill="1" applyAlignment="1">
      <alignment horizontal="center"/>
    </xf>
    <xf numFmtId="1" fontId="0" fillId="5" borderId="39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11" fillId="0" borderId="42" xfId="0" applyFont="1" applyBorder="1"/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0" xfId="0" applyBorder="1"/>
    <xf numFmtId="0" fontId="0" fillId="0" borderId="41" xfId="0" applyBorder="1"/>
    <xf numFmtId="0" fontId="11" fillId="0" borderId="45" xfId="0" applyFont="1" applyBorder="1"/>
    <xf numFmtId="1" fontId="0" fillId="0" borderId="40" xfId="0" applyNumberFormat="1" applyBorder="1"/>
    <xf numFmtId="184" fontId="0" fillId="0" borderId="0" xfId="0" applyNumberFormat="1"/>
    <xf numFmtId="0" fontId="0" fillId="0" borderId="34" xfId="0" applyBorder="1"/>
    <xf numFmtId="0" fontId="11" fillId="0" borderId="47" xfId="0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0" fillId="0" borderId="48" xfId="0" applyBorder="1"/>
    <xf numFmtId="0" fontId="0" fillId="0" borderId="43" xfId="0" applyBorder="1"/>
    <xf numFmtId="1" fontId="0" fillId="0" borderId="43" xfId="0" applyNumberFormat="1" applyBorder="1"/>
    <xf numFmtId="0" fontId="0" fillId="0" borderId="44" xfId="0" applyBorder="1"/>
    <xf numFmtId="0" fontId="0" fillId="0" borderId="1" xfId="0" applyBorder="1"/>
    <xf numFmtId="0" fontId="0" fillId="0" borderId="42" xfId="0" applyBorder="1"/>
    <xf numFmtId="0" fontId="11" fillId="0" borderId="48" xfId="0" applyFont="1" applyBorder="1"/>
    <xf numFmtId="0" fontId="0" fillId="0" borderId="47" xfId="0" applyBorder="1"/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/>
    <xf numFmtId="1" fontId="13" fillId="0" borderId="0" xfId="0" applyNumberFormat="1" applyFont="1" applyFill="1"/>
    <xf numFmtId="1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7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58" fontId="1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2" fillId="3" borderId="0" xfId="0" applyNumberFormat="1" applyFont="1" applyFill="1" applyAlignment="1">
      <alignment horizontal="center" vertical="center" wrapText="1"/>
    </xf>
    <xf numFmtId="185" fontId="12" fillId="3" borderId="0" xfId="0" applyNumberFormat="1" applyFont="1" applyFill="1" applyAlignment="1">
      <alignment horizontal="center" vertical="center" wrapText="1"/>
    </xf>
    <xf numFmtId="185" fontId="12" fillId="3" borderId="0" xfId="0" applyNumberFormat="1" applyFont="1" applyFill="1" applyAlignment="1">
      <alignment horizontal="center" vertical="center"/>
    </xf>
    <xf numFmtId="185" fontId="12" fillId="0" borderId="0" xfId="0" applyNumberFormat="1" applyFont="1" applyAlignment="1">
      <alignment horizontal="left"/>
    </xf>
    <xf numFmtId="185" fontId="12" fillId="0" borderId="0" xfId="0" applyNumberFormat="1" applyFont="1" applyAlignment="1">
      <alignment horizontal="center"/>
    </xf>
    <xf numFmtId="185" fontId="13" fillId="0" borderId="0" xfId="0" applyNumberFormat="1" applyFont="1"/>
    <xf numFmtId="3" fontId="4" fillId="0" borderId="0" xfId="0" applyNumberFormat="1" applyFont="1" applyAlignment="1">
      <alignment horizontal="center" wrapText="1"/>
    </xf>
    <xf numFmtId="9" fontId="13" fillId="0" borderId="0" xfId="3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85" fontId="12" fillId="0" borderId="0" xfId="0" applyNumberFormat="1" applyFont="1"/>
    <xf numFmtId="3" fontId="12" fillId="7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85" fontId="12" fillId="0" borderId="0" xfId="0" applyNumberFormat="1" applyFont="1" applyAlignment="1">
      <alignment horizontal="center" vertical="center" wrapText="1"/>
    </xf>
    <xf numFmtId="185" fontId="12" fillId="0" borderId="0" xfId="0" applyNumberFormat="1" applyFont="1" applyAlignment="1">
      <alignment horizontal="center" vertical="center"/>
    </xf>
    <xf numFmtId="3" fontId="15" fillId="0" borderId="0" xfId="50" applyNumberFormat="1" applyFont="1" applyAlignment="1">
      <alignment horizontal="center"/>
    </xf>
    <xf numFmtId="185" fontId="16" fillId="0" borderId="0" xfId="0" applyNumberFormat="1" applyFont="1"/>
    <xf numFmtId="3" fontId="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/>
    <xf numFmtId="9" fontId="18" fillId="0" borderId="0" xfId="3" applyFont="1" applyFill="1" applyAlignment="1">
      <alignment horizontal="center"/>
    </xf>
    <xf numFmtId="186" fontId="18" fillId="0" borderId="0" xfId="3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186" fontId="13" fillId="0" borderId="0" xfId="0" applyNumberFormat="1" applyFont="1" applyAlignment="1">
      <alignment horizontal="center"/>
    </xf>
    <xf numFmtId="187" fontId="19" fillId="0" borderId="0" xfId="0" applyNumberFormat="1" applyFont="1" applyFill="1"/>
    <xf numFmtId="3" fontId="19" fillId="0" borderId="0" xfId="0" applyNumberFormat="1" applyFont="1" applyFill="1" applyAlignment="1">
      <alignment horizontal="center"/>
    </xf>
    <xf numFmtId="186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9" fontId="0" fillId="0" borderId="0" xfId="3" applyFill="1" applyAlignment="1">
      <alignment horizontal="center"/>
    </xf>
    <xf numFmtId="1" fontId="0" fillId="0" borderId="0" xfId="0" applyNumberFormat="1" applyFill="1"/>
    <xf numFmtId="187" fontId="0" fillId="0" borderId="0" xfId="0" applyNumberFormat="1" applyFill="1"/>
    <xf numFmtId="3" fontId="0" fillId="0" borderId="0" xfId="0" applyNumberFormat="1" applyFill="1" applyAlignment="1">
      <alignment horizontal="center" wrapText="1"/>
    </xf>
    <xf numFmtId="0" fontId="20" fillId="0" borderId="0" xfId="0" applyFont="1" applyFill="1" applyAlignment="1">
      <alignment wrapText="1"/>
    </xf>
    <xf numFmtId="187" fontId="0" fillId="0" borderId="0" xfId="0" applyNumberForma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9" fontId="12" fillId="0" borderId="0" xfId="3" applyFont="1" applyFill="1" applyAlignment="1">
      <alignment horizontal="center"/>
    </xf>
    <xf numFmtId="3" fontId="21" fillId="0" borderId="0" xfId="0" applyNumberFormat="1" applyFont="1" applyAlignment="1">
      <alignment horizontal="center" wrapText="1"/>
    </xf>
    <xf numFmtId="185" fontId="13" fillId="0" borderId="0" xfId="0" applyNumberFormat="1" applyFont="1" applyAlignment="1">
      <alignment horizontal="center"/>
    </xf>
    <xf numFmtId="185" fontId="13" fillId="0" borderId="0" xfId="0" applyNumberFormat="1" applyFont="1" applyFill="1"/>
    <xf numFmtId="3" fontId="13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185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186" fontId="25" fillId="0" borderId="0" xfId="3" applyNumberFormat="1" applyFont="1" applyFill="1" applyAlignment="1">
      <alignment horizontal="center"/>
    </xf>
    <xf numFmtId="185" fontId="1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186" fontId="13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188" fontId="13" fillId="0" borderId="0" xfId="0" applyNumberFormat="1" applyFont="1" applyAlignment="1">
      <alignment horizontal="center"/>
    </xf>
    <xf numFmtId="185" fontId="13" fillId="5" borderId="0" xfId="0" applyNumberFormat="1" applyFont="1" applyFill="1"/>
    <xf numFmtId="3" fontId="13" fillId="5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9" fontId="13" fillId="5" borderId="0" xfId="3" applyFont="1" applyFill="1" applyBorder="1" applyAlignment="1">
      <alignment horizontal="center"/>
    </xf>
    <xf numFmtId="3" fontId="12" fillId="5" borderId="0" xfId="0" applyNumberFormat="1" applyFont="1" applyFill="1" applyAlignment="1">
      <alignment horizontal="center"/>
    </xf>
    <xf numFmtId="188" fontId="13" fillId="5" borderId="0" xfId="0" applyNumberFormat="1" applyFont="1" applyFill="1" applyAlignment="1">
      <alignment horizontal="center"/>
    </xf>
    <xf numFmtId="0" fontId="26" fillId="5" borderId="0" xfId="49" applyFont="1" applyFill="1" applyAlignment="1">
      <alignment horizontal="center" vertical="center"/>
    </xf>
    <xf numFmtId="0" fontId="27" fillId="5" borderId="0" xfId="49" applyFont="1" applyFill="1" applyAlignment="1">
      <alignment horizontal="center" vertical="center"/>
    </xf>
    <xf numFmtId="189" fontId="27" fillId="5" borderId="0" xfId="2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quotePrefix="1">
      <alignment horizontal="center" vertical="center"/>
    </xf>
    <xf numFmtId="0" fontId="1" fillId="0" borderId="9" xfId="0" applyFont="1" applyBorder="1" applyAlignment="1" quotePrefix="1">
      <alignment horizontal="center" vertical="center" wrapText="1"/>
    </xf>
    <xf numFmtId="0" fontId="1" fillId="2" borderId="9" xfId="0" applyFont="1" applyFill="1" applyBorder="1" applyAlignment="1" quotePrefix="1">
      <alignment horizontal="center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temp\251210 draft budget 2026 D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server\David EPGC\ADMIN\AA MANAGEMENT REPORTS\AA Budget\Budget 2024\2024 EPGC Budget v.19-2-24.24 Board + DR 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Y85"/>
  <sheetViews>
    <sheetView tabSelected="1" zoomScale="115" zoomScaleNormal="115" workbookViewId="0">
      <selection activeCell="H22" sqref="H22"/>
    </sheetView>
  </sheetViews>
  <sheetFormatPr defaultColWidth="9.13888888888889" defaultRowHeight="14.4"/>
  <cols>
    <col min="1" max="1" width="53.1388888888889" style="174" customWidth="1"/>
    <col min="2" max="2" width="9.13888888888889" style="175" hidden="1" customWidth="1"/>
    <col min="3" max="3" width="12.8518518518519" style="176" hidden="1" customWidth="1"/>
    <col min="4" max="4" width="11.1388888888889" style="175" hidden="1" customWidth="1"/>
    <col min="5" max="5" width="35.287037037037" style="175" customWidth="1"/>
    <col min="6" max="6" width="11.1388888888889" style="177" hidden="1" customWidth="1"/>
    <col min="7" max="7" width="10.8518518518519" style="177" customWidth="1"/>
    <col min="8" max="8" width="17.712962962963" style="178" customWidth="1"/>
    <col min="9" max="20" width="14" style="177" customWidth="1"/>
    <col min="21" max="21" width="14" style="178" customWidth="1"/>
    <col min="22" max="22" width="9.13888888888889" style="177"/>
    <col min="23" max="23" width="12.1388888888889" style="174" customWidth="1"/>
    <col min="24" max="24" width="9.13888888888889" style="174"/>
    <col min="25" max="25" width="17.1388888888889" style="174" customWidth="1"/>
    <col min="26" max="16384" width="9.13888888888889" style="174"/>
  </cols>
  <sheetData>
    <row r="2" s="171" customFormat="1" ht="45" customHeight="1" spans="1:25">
      <c r="A2" s="179"/>
      <c r="B2" s="180" t="s">
        <v>0</v>
      </c>
      <c r="C2" s="181" t="s">
        <v>1</v>
      </c>
      <c r="D2" s="180" t="s">
        <v>2</v>
      </c>
      <c r="E2" s="182" t="s">
        <v>3</v>
      </c>
      <c r="F2" s="183" t="s">
        <v>4</v>
      </c>
      <c r="G2" s="183" t="s">
        <v>5</v>
      </c>
      <c r="H2" s="184" t="s">
        <v>6</v>
      </c>
      <c r="I2" s="184" t="s">
        <v>7</v>
      </c>
      <c r="J2" s="184" t="s">
        <v>8</v>
      </c>
      <c r="K2" s="184" t="s">
        <v>9</v>
      </c>
      <c r="L2" s="184" t="s">
        <v>10</v>
      </c>
      <c r="M2" s="184" t="s">
        <v>11</v>
      </c>
      <c r="N2" s="184" t="s">
        <v>12</v>
      </c>
      <c r="O2" s="184" t="s">
        <v>13</v>
      </c>
      <c r="P2" s="184" t="s">
        <v>14</v>
      </c>
      <c r="Q2" s="184" t="s">
        <v>15</v>
      </c>
      <c r="R2" s="184" t="s">
        <v>16</v>
      </c>
      <c r="S2" s="184" t="s">
        <v>17</v>
      </c>
      <c r="T2" s="184" t="s">
        <v>18</v>
      </c>
      <c r="U2" s="184" t="s">
        <v>19</v>
      </c>
      <c r="V2" s="236"/>
      <c r="Y2" s="236"/>
    </row>
    <row r="3" s="172" customFormat="1" spans="1:25">
      <c r="A3" s="185"/>
      <c r="B3" s="175"/>
      <c r="C3" s="176"/>
      <c r="D3" s="175"/>
      <c r="E3" s="175"/>
      <c r="F3" s="178"/>
      <c r="G3" s="186"/>
      <c r="H3" s="186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186"/>
      <c r="V3" s="237"/>
      <c r="W3" s="238"/>
      <c r="X3" s="238"/>
      <c r="Y3" s="245"/>
    </row>
    <row r="4" spans="1:25">
      <c r="A4" s="187" t="s">
        <v>20</v>
      </c>
      <c r="B4" s="175">
        <v>655000</v>
      </c>
      <c r="C4" s="176">
        <v>818605</v>
      </c>
      <c r="D4" s="175">
        <v>818605</v>
      </c>
      <c r="E4" s="188">
        <v>800000</v>
      </c>
      <c r="F4" s="189">
        <f>(H4-D4)/H4</f>
        <v>0.00625296812098526</v>
      </c>
      <c r="G4" s="175">
        <f t="shared" ref="G4:G9" si="0">H4-E4</f>
        <v>23755.9195041322</v>
      </c>
      <c r="H4" s="190">
        <f>SUM(I4:T4)</f>
        <v>823755.919504132</v>
      </c>
      <c r="I4" s="175">
        <f>'[1]Members '!H6</f>
        <v>68646.3266253444</v>
      </c>
      <c r="J4" s="175">
        <f>'[1]Members '!$H6</f>
        <v>68646.3266253444</v>
      </c>
      <c r="K4" s="175">
        <f>'[1]Members '!$H6</f>
        <v>68646.3266253444</v>
      </c>
      <c r="L4" s="175">
        <f>'[1]Members '!$H6</f>
        <v>68646.3266253444</v>
      </c>
      <c r="M4" s="175">
        <f>'[1]Members '!$H6</f>
        <v>68646.3266253444</v>
      </c>
      <c r="N4" s="175">
        <f>'[1]Members '!$H6</f>
        <v>68646.3266253444</v>
      </c>
      <c r="O4" s="175">
        <f>'[1]Members '!$H6</f>
        <v>68646.3266253444</v>
      </c>
      <c r="P4" s="175">
        <f>'[1]Members '!$H6</f>
        <v>68646.3266253444</v>
      </c>
      <c r="Q4" s="175">
        <f>'[1]Members '!$H6</f>
        <v>68646.3266253444</v>
      </c>
      <c r="R4" s="175">
        <f>'[1]Members '!$H6</f>
        <v>68646.3266253444</v>
      </c>
      <c r="S4" s="175">
        <f>'[1]Members '!$H6</f>
        <v>68646.3266253444</v>
      </c>
      <c r="T4" s="175">
        <f>'[1]Members '!$H6</f>
        <v>68646.3266253444</v>
      </c>
      <c r="U4" s="190">
        <f>SUM(I4:T4)</f>
        <v>823755.919504132</v>
      </c>
      <c r="V4" s="221"/>
      <c r="W4" s="187"/>
      <c r="Y4" s="187"/>
    </row>
    <row r="5" spans="1:25">
      <c r="A5" s="187" t="s">
        <v>21</v>
      </c>
      <c r="B5" s="175">
        <v>18845</v>
      </c>
      <c r="C5" s="176">
        <v>17000</v>
      </c>
      <c r="D5" s="175">
        <v>17000</v>
      </c>
      <c r="E5" s="188">
        <v>20500</v>
      </c>
      <c r="F5" s="189">
        <f>(H5-D5)/H5</f>
        <v>0.227272727272727</v>
      </c>
      <c r="G5" s="175">
        <f t="shared" si="0"/>
        <v>1500</v>
      </c>
      <c r="H5" s="190">
        <v>22000</v>
      </c>
      <c r="I5" s="175">
        <f t="shared" ref="I5:T6" si="1">$H5/12</f>
        <v>1833.33333333333</v>
      </c>
      <c r="J5" s="175">
        <f t="shared" si="1"/>
        <v>1833.33333333333</v>
      </c>
      <c r="K5" s="175">
        <f t="shared" si="1"/>
        <v>1833.33333333333</v>
      </c>
      <c r="L5" s="175">
        <f t="shared" si="1"/>
        <v>1833.33333333333</v>
      </c>
      <c r="M5" s="175">
        <f t="shared" si="1"/>
        <v>1833.33333333333</v>
      </c>
      <c r="N5" s="175">
        <f t="shared" si="1"/>
        <v>1833.33333333333</v>
      </c>
      <c r="O5" s="175">
        <f t="shared" si="1"/>
        <v>1833.33333333333</v>
      </c>
      <c r="P5" s="175">
        <f t="shared" si="1"/>
        <v>1833.33333333333</v>
      </c>
      <c r="Q5" s="175">
        <f t="shared" si="1"/>
        <v>1833.33333333333</v>
      </c>
      <c r="R5" s="175">
        <f t="shared" si="1"/>
        <v>1833.33333333333</v>
      </c>
      <c r="S5" s="175">
        <f t="shared" si="1"/>
        <v>1833.33333333333</v>
      </c>
      <c r="T5" s="175">
        <f t="shared" si="1"/>
        <v>1833.33333333333</v>
      </c>
      <c r="U5" s="190">
        <f>SUM(I5:T5)</f>
        <v>22000</v>
      </c>
      <c r="V5" s="221"/>
      <c r="W5" s="187"/>
      <c r="Y5" s="187"/>
    </row>
    <row r="6" spans="1:25">
      <c r="A6" s="187" t="s">
        <v>22</v>
      </c>
      <c r="B6" s="175">
        <v>18647.9338842975</v>
      </c>
      <c r="C6" s="176">
        <v>19300</v>
      </c>
      <c r="D6" s="175">
        <v>19300</v>
      </c>
      <c r="E6" s="188">
        <v>20460</v>
      </c>
      <c r="F6" s="189">
        <f>(H6-D6)/H6</f>
        <v>0.102325581395349</v>
      </c>
      <c r="G6" s="175">
        <f t="shared" si="0"/>
        <v>1040</v>
      </c>
      <c r="H6" s="190">
        <v>21500</v>
      </c>
      <c r="I6" s="175">
        <f t="shared" si="1"/>
        <v>1791.66666666667</v>
      </c>
      <c r="J6" s="175">
        <f t="shared" si="1"/>
        <v>1791.66666666667</v>
      </c>
      <c r="K6" s="175">
        <f t="shared" si="1"/>
        <v>1791.66666666667</v>
      </c>
      <c r="L6" s="175">
        <f t="shared" si="1"/>
        <v>1791.66666666667</v>
      </c>
      <c r="M6" s="175">
        <f t="shared" si="1"/>
        <v>1791.66666666667</v>
      </c>
      <c r="N6" s="175">
        <f t="shared" si="1"/>
        <v>1791.66666666667</v>
      </c>
      <c r="O6" s="175">
        <f t="shared" si="1"/>
        <v>1791.66666666667</v>
      </c>
      <c r="P6" s="175">
        <f t="shared" si="1"/>
        <v>1791.66666666667</v>
      </c>
      <c r="Q6" s="175">
        <f t="shared" si="1"/>
        <v>1791.66666666667</v>
      </c>
      <c r="R6" s="175">
        <f t="shared" si="1"/>
        <v>1791.66666666667</v>
      </c>
      <c r="S6" s="175">
        <f t="shared" si="1"/>
        <v>1791.66666666667</v>
      </c>
      <c r="T6" s="175">
        <f t="shared" si="1"/>
        <v>1791.66666666667</v>
      </c>
      <c r="U6" s="190">
        <f>SUM(I6:T6)</f>
        <v>21500</v>
      </c>
      <c r="V6" s="221"/>
      <c r="W6" s="187"/>
      <c r="Y6" s="187"/>
    </row>
    <row r="7" spans="1:25">
      <c r="A7" s="187" t="s">
        <v>23</v>
      </c>
      <c r="B7" s="175">
        <v>125000</v>
      </c>
      <c r="C7" s="176">
        <v>226000</v>
      </c>
      <c r="D7" s="175">
        <v>226000</v>
      </c>
      <c r="E7" s="188">
        <v>131000</v>
      </c>
      <c r="F7" s="189">
        <f>(H7-D7)/H7</f>
        <v>-0.467532467532468</v>
      </c>
      <c r="G7" s="175">
        <f t="shared" si="0"/>
        <v>23000</v>
      </c>
      <c r="H7" s="190">
        <f>SUM(I7:T7)</f>
        <v>154000</v>
      </c>
      <c r="I7" s="175">
        <v>25000</v>
      </c>
      <c r="J7" s="175">
        <v>25000</v>
      </c>
      <c r="K7" s="175">
        <v>16000</v>
      </c>
      <c r="L7" s="175"/>
      <c r="M7" s="175"/>
      <c r="N7" s="175"/>
      <c r="O7" s="175"/>
      <c r="P7" s="175"/>
      <c r="Q7" s="175"/>
      <c r="R7" s="175">
        <v>40000</v>
      </c>
      <c r="S7" s="175">
        <v>24000</v>
      </c>
      <c r="T7" s="175">
        <v>24000</v>
      </c>
      <c r="U7" s="190">
        <f>SUM(I7:T7)</f>
        <v>154000</v>
      </c>
      <c r="V7" s="221"/>
      <c r="W7" s="187"/>
      <c r="Y7" s="187"/>
    </row>
    <row r="8" spans="1:25">
      <c r="A8" s="187" t="s">
        <v>24</v>
      </c>
      <c r="B8" s="175">
        <v>-48000</v>
      </c>
      <c r="E8" s="191">
        <v>5000</v>
      </c>
      <c r="F8" s="189"/>
      <c r="G8" s="175">
        <f t="shared" si="0"/>
        <v>40454.52</v>
      </c>
      <c r="H8" s="190">
        <f>'[1]Members '!G12</f>
        <v>45454.52</v>
      </c>
      <c r="I8" s="175">
        <f>$H8/5</f>
        <v>9090.904</v>
      </c>
      <c r="J8" s="175">
        <f>$H8/5</f>
        <v>9090.904</v>
      </c>
      <c r="K8" s="175">
        <f>$H8/5</f>
        <v>9090.904</v>
      </c>
      <c r="L8" s="175">
        <f>$H8/5</f>
        <v>9090.904</v>
      </c>
      <c r="M8" s="175"/>
      <c r="N8" s="175"/>
      <c r="O8" s="175"/>
      <c r="P8" s="175"/>
      <c r="Q8" s="175"/>
      <c r="R8" s="175"/>
      <c r="S8" s="175"/>
      <c r="T8" s="175">
        <f>$H8/5</f>
        <v>9090.904</v>
      </c>
      <c r="U8" s="190">
        <f>SUM(I8:T8)</f>
        <v>45454.52</v>
      </c>
      <c r="V8" s="221"/>
      <c r="W8" s="187"/>
      <c r="Y8" s="187"/>
    </row>
    <row r="9" s="172" customFormat="1" spans="1:25">
      <c r="A9" s="192" t="s">
        <v>25</v>
      </c>
      <c r="B9" s="190">
        <f>SUM(B4:B8)</f>
        <v>769492.933884297</v>
      </c>
      <c r="C9" s="193">
        <v>1080905</v>
      </c>
      <c r="D9" s="190">
        <v>1080905</v>
      </c>
      <c r="E9" s="194">
        <f>SUM(E4:E8)</f>
        <v>976960</v>
      </c>
      <c r="F9" s="195">
        <f>(H9-D9)/H9</f>
        <v>-0.0133068543910251</v>
      </c>
      <c r="G9" s="190">
        <f t="shared" si="0"/>
        <v>89750.4395041321</v>
      </c>
      <c r="H9" s="190">
        <f t="shared" ref="H9:U9" si="2">SUM(H4:H8)</f>
        <v>1066710.43950413</v>
      </c>
      <c r="I9" s="190">
        <f t="shared" si="2"/>
        <v>106362.230625344</v>
      </c>
      <c r="J9" s="190">
        <f t="shared" si="2"/>
        <v>106362.230625344</v>
      </c>
      <c r="K9" s="190">
        <f t="shared" si="2"/>
        <v>97362.2306253444</v>
      </c>
      <c r="L9" s="190">
        <f t="shared" si="2"/>
        <v>81362.2306253444</v>
      </c>
      <c r="M9" s="190">
        <f t="shared" si="2"/>
        <v>72271.3266253444</v>
      </c>
      <c r="N9" s="190">
        <f t="shared" si="2"/>
        <v>72271.3266253444</v>
      </c>
      <c r="O9" s="190">
        <f t="shared" si="2"/>
        <v>72271.3266253444</v>
      </c>
      <c r="P9" s="190">
        <f t="shared" si="2"/>
        <v>72271.3266253444</v>
      </c>
      <c r="Q9" s="190">
        <f t="shared" si="2"/>
        <v>72271.3266253444</v>
      </c>
      <c r="R9" s="190">
        <f t="shared" si="2"/>
        <v>112271.326625344</v>
      </c>
      <c r="S9" s="190">
        <f t="shared" si="2"/>
        <v>96271.3266253444</v>
      </c>
      <c r="T9" s="190">
        <f t="shared" si="2"/>
        <v>105362.230625344</v>
      </c>
      <c r="U9" s="190">
        <f t="shared" si="2"/>
        <v>1066710.43950413</v>
      </c>
      <c r="V9" s="186"/>
      <c r="W9" s="192"/>
      <c r="Y9" s="192"/>
    </row>
    <row r="10" spans="1:25">
      <c r="A10" s="187"/>
      <c r="E10" s="180"/>
      <c r="F10" s="196"/>
      <c r="G10" s="196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221"/>
      <c r="W10" s="187"/>
      <c r="Y10" s="187"/>
    </row>
    <row r="11" spans="1:25">
      <c r="A11" s="187" t="s">
        <v>26</v>
      </c>
      <c r="B11" s="175">
        <v>1152309</v>
      </c>
      <c r="C11" s="176">
        <v>1212987</v>
      </c>
      <c r="D11" s="175" t="e">
        <f>+'[2]Budget EPGC 2023'!E10</f>
        <v>#REF!</v>
      </c>
      <c r="E11" s="188">
        <v>1520000</v>
      </c>
      <c r="F11" s="189" t="e">
        <f>(H11-D11)/H11</f>
        <v>#REF!</v>
      </c>
      <c r="G11" s="175">
        <f>H11-E11</f>
        <v>99326.9970000002</v>
      </c>
      <c r="H11" s="198">
        <f>SUM(I11:T11)</f>
        <v>1619326.997</v>
      </c>
      <c r="I11" s="226">
        <v>119378.75</v>
      </c>
      <c r="J11" s="226">
        <v>134002.7</v>
      </c>
      <c r="K11" s="226">
        <v>156521</v>
      </c>
      <c r="L11" s="226">
        <v>182802.85</v>
      </c>
      <c r="M11" s="226">
        <v>180350.9</v>
      </c>
      <c r="N11" s="226">
        <v>99020.65</v>
      </c>
      <c r="O11" s="226">
        <v>102653.1</v>
      </c>
      <c r="P11" s="226">
        <v>91064.7</v>
      </c>
      <c r="Q11" s="226">
        <v>139845.6</v>
      </c>
      <c r="R11" s="226">
        <v>191583.8</v>
      </c>
      <c r="S11" s="226">
        <v>138172.397</v>
      </c>
      <c r="T11" s="226">
        <v>83930.55</v>
      </c>
      <c r="U11" s="239">
        <v>1605896.54</v>
      </c>
      <c r="V11" s="221"/>
      <c r="W11" s="187"/>
      <c r="Y11" s="187"/>
    </row>
    <row r="12" spans="1:25">
      <c r="A12" s="187" t="s">
        <v>27</v>
      </c>
      <c r="B12" s="175">
        <f>20770+159415</f>
        <v>180185</v>
      </c>
      <c r="C12" s="176">
        <v>183557</v>
      </c>
      <c r="D12" s="175" t="e">
        <f>+'[2]Budget EPGC 2023'!E11+155148</f>
        <v>#REF!</v>
      </c>
      <c r="E12" s="188">
        <v>195000</v>
      </c>
      <c r="F12" s="189" t="e">
        <f>(H12-D12)/H12</f>
        <v>#REF!</v>
      </c>
      <c r="G12" s="175">
        <f>H12-E12</f>
        <v>11202.5515353028</v>
      </c>
      <c r="H12" s="198">
        <f>SUM(I12:T12)</f>
        <v>206202.551535303</v>
      </c>
      <c r="I12" s="226">
        <v>12654.6971953373</v>
      </c>
      <c r="J12" s="226">
        <v>12703.4751283176</v>
      </c>
      <c r="K12" s="226">
        <v>10482.3287458827</v>
      </c>
      <c r="L12" s="226">
        <v>19554.487607618</v>
      </c>
      <c r="M12" s="226">
        <v>17744.4679086076</v>
      </c>
      <c r="N12" s="226">
        <v>16444.5834135156</v>
      </c>
      <c r="O12" s="226">
        <v>22786.5797547974</v>
      </c>
      <c r="P12" s="226">
        <v>21441.5722917998</v>
      </c>
      <c r="Q12" s="226">
        <v>21385.1265730035</v>
      </c>
      <c r="R12" s="226">
        <v>22484.6589164231</v>
      </c>
      <c r="S12" s="226">
        <v>18236.374</v>
      </c>
      <c r="T12" s="226">
        <v>10284.2</v>
      </c>
      <c r="U12" s="240">
        <v>204793.117535303</v>
      </c>
      <c r="V12" s="221"/>
      <c r="W12" s="187"/>
      <c r="Y12" s="187"/>
    </row>
    <row r="13" spans="1:25">
      <c r="A13" s="187" t="s">
        <v>28</v>
      </c>
      <c r="E13" s="188">
        <v>28000</v>
      </c>
      <c r="F13" s="189"/>
      <c r="G13" s="175">
        <f>H13-E13</f>
        <v>-3185.807</v>
      </c>
      <c r="H13" s="198">
        <f>SUM(I13:T13)</f>
        <v>24814.193</v>
      </c>
      <c r="I13" s="226">
        <v>2862</v>
      </c>
      <c r="J13" s="226">
        <v>2556</v>
      </c>
      <c r="K13" s="226">
        <v>3123</v>
      </c>
      <c r="L13" s="226">
        <v>3134</v>
      </c>
      <c r="M13" s="226">
        <v>1637</v>
      </c>
      <c r="N13" s="227">
        <v>853</v>
      </c>
      <c r="O13" s="227">
        <v>584</v>
      </c>
      <c r="P13" s="226">
        <v>1047</v>
      </c>
      <c r="Q13" s="226">
        <v>1167</v>
      </c>
      <c r="R13" s="226">
        <v>2075</v>
      </c>
      <c r="S13" s="226">
        <v>3406.193</v>
      </c>
      <c r="T13" s="226">
        <v>2370</v>
      </c>
      <c r="U13" s="240">
        <f>SUM(I13:T13)</f>
        <v>24814.193</v>
      </c>
      <c r="V13" s="221"/>
      <c r="W13" s="187"/>
      <c r="Y13" s="187"/>
    </row>
    <row r="14" spans="1:25">
      <c r="A14" s="187" t="s">
        <v>29</v>
      </c>
      <c r="E14" s="188">
        <v>12000</v>
      </c>
      <c r="F14" s="189"/>
      <c r="G14" s="175">
        <f>H14-E14</f>
        <v>2769</v>
      </c>
      <c r="H14" s="198">
        <f>SUM(I14:T14)</f>
        <v>14769</v>
      </c>
      <c r="I14" s="228">
        <v>428</v>
      </c>
      <c r="J14" s="228">
        <v>742</v>
      </c>
      <c r="K14" s="228">
        <v>840</v>
      </c>
      <c r="L14" s="229">
        <v>1618</v>
      </c>
      <c r="M14" s="229">
        <v>1535</v>
      </c>
      <c r="N14" s="229">
        <v>1771</v>
      </c>
      <c r="O14" s="229">
        <v>2446</v>
      </c>
      <c r="P14" s="229">
        <v>1800</v>
      </c>
      <c r="Q14" s="229">
        <v>1445</v>
      </c>
      <c r="R14" s="228">
        <v>940</v>
      </c>
      <c r="S14" s="228">
        <v>614</v>
      </c>
      <c r="T14" s="228">
        <v>590</v>
      </c>
      <c r="U14" s="240">
        <f>SUM(I14:T14)</f>
        <v>14769</v>
      </c>
      <c r="V14" s="221"/>
      <c r="W14" s="187"/>
      <c r="Y14" s="187"/>
    </row>
    <row r="15" s="172" customFormat="1" spans="1:25">
      <c r="A15" s="192" t="s">
        <v>30</v>
      </c>
      <c r="B15" s="190">
        <v>1307499</v>
      </c>
      <c r="C15" s="193">
        <f>SUM(C11:C14)</f>
        <v>1396544</v>
      </c>
      <c r="D15" s="190" t="e">
        <f>+'[2]Budget EPGC 2023'!E14</f>
        <v>#REF!</v>
      </c>
      <c r="E15" s="194">
        <f>SUM(E11:E14)</f>
        <v>1755000</v>
      </c>
      <c r="F15" s="195">
        <f>(H15-B15)/H15</f>
        <v>0.298970528224633</v>
      </c>
      <c r="G15" s="190">
        <f>H15-E15</f>
        <v>110112.741535303</v>
      </c>
      <c r="H15" s="198">
        <f>SUM(I15:T15)</f>
        <v>1865112.7415353</v>
      </c>
      <c r="I15" s="230">
        <f t="shared" ref="I15:U15" si="3">SUM(I11:I14)</f>
        <v>135323.447195337</v>
      </c>
      <c r="J15" s="230">
        <f t="shared" si="3"/>
        <v>150004.175128318</v>
      </c>
      <c r="K15" s="230">
        <f t="shared" si="3"/>
        <v>170966.328745883</v>
      </c>
      <c r="L15" s="230">
        <f t="shared" si="3"/>
        <v>207109.337607618</v>
      </c>
      <c r="M15" s="230">
        <f t="shared" si="3"/>
        <v>201267.367908608</v>
      </c>
      <c r="N15" s="230">
        <f t="shared" si="3"/>
        <v>118089.233413516</v>
      </c>
      <c r="O15" s="230">
        <f t="shared" si="3"/>
        <v>128469.679754797</v>
      </c>
      <c r="P15" s="230">
        <f t="shared" si="3"/>
        <v>115353.2722918</v>
      </c>
      <c r="Q15" s="230">
        <f t="shared" si="3"/>
        <v>163842.726573004</v>
      </c>
      <c r="R15" s="230">
        <f t="shared" si="3"/>
        <v>217083.458916423</v>
      </c>
      <c r="S15" s="230">
        <f t="shared" si="3"/>
        <v>160428.964</v>
      </c>
      <c r="T15" s="230">
        <f t="shared" si="3"/>
        <v>97174.75</v>
      </c>
      <c r="U15" s="239">
        <f t="shared" si="3"/>
        <v>1850272.8505353</v>
      </c>
      <c r="V15" s="186"/>
      <c r="W15" s="192"/>
      <c r="Y15" s="192"/>
    </row>
    <row r="16" spans="1:25">
      <c r="A16" s="187"/>
      <c r="E16" s="191"/>
      <c r="F16" s="189"/>
      <c r="G16" s="175"/>
      <c r="H16" s="190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90"/>
      <c r="V16" s="221"/>
      <c r="W16" s="187"/>
      <c r="Y16" s="187"/>
    </row>
    <row r="17" spans="1:25">
      <c r="A17" s="199" t="s">
        <v>31</v>
      </c>
      <c r="B17" s="175">
        <v>1364368.57</v>
      </c>
      <c r="D17" s="175" t="e">
        <f>+'[2]Budget EPGC 2023'!E16</f>
        <v>#REF!</v>
      </c>
      <c r="E17" s="191"/>
      <c r="F17" s="189"/>
      <c r="G17" s="175"/>
      <c r="H17" s="200">
        <f>SUM(I17:T17)</f>
        <v>1730639.59608671</v>
      </c>
      <c r="I17" s="200">
        <v>124041.896276713</v>
      </c>
      <c r="J17" s="200">
        <v>138869</v>
      </c>
      <c r="K17" s="200">
        <v>102331</v>
      </c>
      <c r="L17" s="231">
        <v>200616</v>
      </c>
      <c r="M17" s="200">
        <v>185757.37981</v>
      </c>
      <c r="N17" s="175">
        <v>113919</v>
      </c>
      <c r="O17" s="175">
        <v>126826</v>
      </c>
      <c r="P17" s="200">
        <v>109812</v>
      </c>
      <c r="Q17" s="200">
        <v>159184</v>
      </c>
      <c r="R17" s="200">
        <v>216200</v>
      </c>
      <c r="S17" s="231">
        <v>161361</v>
      </c>
      <c r="T17" s="200">
        <v>91722.32</v>
      </c>
      <c r="U17" s="241">
        <v>1690367.67478671</v>
      </c>
      <c r="V17" s="221"/>
      <c r="W17" s="187"/>
      <c r="Y17" s="187"/>
    </row>
    <row r="18" spans="1:25">
      <c r="A18" s="199" t="s">
        <v>32</v>
      </c>
      <c r="B18" s="175">
        <v>-56869.5699999998</v>
      </c>
      <c r="E18" s="201"/>
      <c r="F18" s="189"/>
      <c r="G18" s="202"/>
      <c r="H18" s="202">
        <f t="shared" ref="H18:U18" si="4">H15-H17</f>
        <v>134473.14544859</v>
      </c>
      <c r="I18" s="202">
        <f t="shared" si="4"/>
        <v>11281.5509186243</v>
      </c>
      <c r="J18" s="202">
        <f t="shared" si="4"/>
        <v>11135.1751283176</v>
      </c>
      <c r="K18" s="202">
        <f t="shared" si="4"/>
        <v>68635.3287458827</v>
      </c>
      <c r="L18" s="202">
        <f t="shared" si="4"/>
        <v>6493.33760761804</v>
      </c>
      <c r="M18" s="202">
        <f t="shared" si="4"/>
        <v>15509.9880986076</v>
      </c>
      <c r="N18" s="202">
        <f t="shared" si="4"/>
        <v>4170.23341351558</v>
      </c>
      <c r="O18" s="202">
        <f t="shared" si="4"/>
        <v>1643.67975479744</v>
      </c>
      <c r="P18" s="202">
        <f t="shared" si="4"/>
        <v>5541.27229179979</v>
      </c>
      <c r="Q18" s="202">
        <f t="shared" si="4"/>
        <v>4658.72657300354</v>
      </c>
      <c r="R18" s="202">
        <f t="shared" si="4"/>
        <v>883.458916423144</v>
      </c>
      <c r="S18" s="202">
        <f t="shared" si="4"/>
        <v>-932.035999999993</v>
      </c>
      <c r="T18" s="202">
        <f t="shared" si="4"/>
        <v>5452.42999999999</v>
      </c>
      <c r="U18" s="241">
        <f t="shared" si="4"/>
        <v>159905.17574859</v>
      </c>
      <c r="V18" s="221"/>
      <c r="W18" s="187"/>
      <c r="Y18" s="187"/>
    </row>
    <row r="19" spans="1:25">
      <c r="A19" s="203" t="s">
        <v>33</v>
      </c>
      <c r="B19" s="175">
        <v>-0.0416819701438885</v>
      </c>
      <c r="E19" s="191"/>
      <c r="F19" s="189"/>
      <c r="G19" s="204"/>
      <c r="H19" s="205">
        <f t="shared" ref="H19:U19" si="5">H18/H17</f>
        <v>0.0777014149870705</v>
      </c>
      <c r="I19" s="205">
        <f t="shared" si="5"/>
        <v>0.0909495199384683</v>
      </c>
      <c r="J19" s="205">
        <f t="shared" si="5"/>
        <v>0.0801847433791387</v>
      </c>
      <c r="K19" s="205">
        <f t="shared" si="5"/>
        <v>0.670718831496641</v>
      </c>
      <c r="L19" s="205">
        <f t="shared" si="5"/>
        <v>0.0323669976852197</v>
      </c>
      <c r="M19" s="205">
        <f t="shared" si="5"/>
        <v>0.0834959457033244</v>
      </c>
      <c r="N19" s="205">
        <f t="shared" si="5"/>
        <v>0.0366070050958627</v>
      </c>
      <c r="O19" s="205">
        <f t="shared" si="5"/>
        <v>0.0129601166542936</v>
      </c>
      <c r="P19" s="205">
        <f t="shared" si="5"/>
        <v>0.050461445851089</v>
      </c>
      <c r="Q19" s="205">
        <f t="shared" si="5"/>
        <v>0.029266299207229</v>
      </c>
      <c r="R19" s="205">
        <f t="shared" si="5"/>
        <v>0.00408630396125413</v>
      </c>
      <c r="S19" s="205">
        <f t="shared" si="5"/>
        <v>-0.00577609211643453</v>
      </c>
      <c r="T19" s="205">
        <f t="shared" si="5"/>
        <v>0.0594449638866526</v>
      </c>
      <c r="U19" s="242">
        <f t="shared" si="5"/>
        <v>0.0945978665669681</v>
      </c>
      <c r="V19" s="221"/>
      <c r="W19" s="187"/>
      <c r="Y19" s="187"/>
    </row>
    <row r="20" spans="1:25">
      <c r="A20" s="187"/>
      <c r="E20" s="191"/>
      <c r="F20" s="189"/>
      <c r="G20" s="175"/>
      <c r="H20" s="190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90"/>
      <c r="V20" s="221"/>
      <c r="W20" s="187"/>
      <c r="Y20" s="187"/>
    </row>
    <row r="21" spans="1:25">
      <c r="A21" s="187" t="s">
        <v>34</v>
      </c>
      <c r="B21" s="175">
        <v>24000</v>
      </c>
      <c r="C21" s="176">
        <v>24000</v>
      </c>
      <c r="D21" s="175" t="e">
        <f>+'[2]Budget EPGC 2023'!E20</f>
        <v>#REF!</v>
      </c>
      <c r="E21" s="191">
        <v>30000</v>
      </c>
      <c r="F21" s="189" t="e">
        <f>(H21-D21)/H21</f>
        <v>#REF!</v>
      </c>
      <c r="G21" s="175">
        <f>H21-E21</f>
        <v>2500</v>
      </c>
      <c r="H21" s="190">
        <f>SUM(I21:T21)</f>
        <v>32500</v>
      </c>
      <c r="I21" s="175">
        <v>2500</v>
      </c>
      <c r="J21" s="175">
        <v>2500</v>
      </c>
      <c r="K21" s="175">
        <v>2750</v>
      </c>
      <c r="L21" s="175">
        <v>2750</v>
      </c>
      <c r="M21" s="175">
        <v>2750</v>
      </c>
      <c r="N21" s="175">
        <v>2750</v>
      </c>
      <c r="O21" s="175">
        <v>2750</v>
      </c>
      <c r="P21" s="175">
        <v>2750</v>
      </c>
      <c r="Q21" s="175">
        <v>2750</v>
      </c>
      <c r="R21" s="175">
        <v>2750</v>
      </c>
      <c r="S21" s="175">
        <v>2750</v>
      </c>
      <c r="T21" s="175">
        <v>2750</v>
      </c>
      <c r="U21" s="190">
        <f>SUM(I21:T21)</f>
        <v>32500</v>
      </c>
      <c r="V21" s="221"/>
      <c r="W21" s="187"/>
      <c r="Y21" s="187"/>
    </row>
    <row r="22" spans="1:25">
      <c r="A22" s="187" t="s">
        <v>35</v>
      </c>
      <c r="B22" s="175">
        <v>30000</v>
      </c>
      <c r="C22" s="176">
        <v>30000</v>
      </c>
      <c r="D22" s="175" t="e">
        <f>+'[2]Budget EPGC 2023'!E21</f>
        <v>#REF!</v>
      </c>
      <c r="E22" s="191">
        <v>25000</v>
      </c>
      <c r="F22" s="189" t="e">
        <f>(H22-D22)/H22</f>
        <v>#REF!</v>
      </c>
      <c r="G22" s="175">
        <f>H22-E22</f>
        <v>1000</v>
      </c>
      <c r="H22" s="190">
        <v>26000</v>
      </c>
      <c r="I22" s="175">
        <f t="shared" ref="I22:T22" si="6">$H22/12</f>
        <v>2166.66666666667</v>
      </c>
      <c r="J22" s="175">
        <f t="shared" si="6"/>
        <v>2166.66666666667</v>
      </c>
      <c r="K22" s="175">
        <f t="shared" si="6"/>
        <v>2166.66666666667</v>
      </c>
      <c r="L22" s="175">
        <f t="shared" si="6"/>
        <v>2166.66666666667</v>
      </c>
      <c r="M22" s="175">
        <f t="shared" si="6"/>
        <v>2166.66666666667</v>
      </c>
      <c r="N22" s="175">
        <f t="shared" si="6"/>
        <v>2166.66666666667</v>
      </c>
      <c r="O22" s="175">
        <f t="shared" si="6"/>
        <v>2166.66666666667</v>
      </c>
      <c r="P22" s="175">
        <f t="shared" si="6"/>
        <v>2166.66666666667</v>
      </c>
      <c r="Q22" s="175">
        <f t="shared" si="6"/>
        <v>2166.66666666667</v>
      </c>
      <c r="R22" s="175">
        <f t="shared" si="6"/>
        <v>2166.66666666667</v>
      </c>
      <c r="S22" s="175">
        <f t="shared" si="6"/>
        <v>2166.66666666667</v>
      </c>
      <c r="T22" s="175">
        <f t="shared" si="6"/>
        <v>2166.66666666667</v>
      </c>
      <c r="U22" s="190">
        <f>SUM(I22:T22)</f>
        <v>26000</v>
      </c>
      <c r="V22" s="221"/>
      <c r="W22" s="187"/>
      <c r="Y22" s="187"/>
    </row>
    <row r="23" spans="1:25">
      <c r="A23" s="187" t="s">
        <v>36</v>
      </c>
      <c r="B23" s="175">
        <v>11084.86</v>
      </c>
      <c r="C23" s="176">
        <v>12670</v>
      </c>
      <c r="D23" s="175" t="e">
        <f>+'[2]Budget EPGC 2023'!E22</f>
        <v>#REF!</v>
      </c>
      <c r="E23" s="191">
        <v>23200</v>
      </c>
      <c r="F23" s="189" t="e">
        <f>(H23-D23)/H23</f>
        <v>#REF!</v>
      </c>
      <c r="G23" s="175">
        <f>H23-E23</f>
        <v>26800</v>
      </c>
      <c r="H23" s="190">
        <f>SUM(I23:T23)</f>
        <v>50000</v>
      </c>
      <c r="I23" s="175">
        <v>4000</v>
      </c>
      <c r="J23" s="175">
        <v>4000</v>
      </c>
      <c r="K23" s="175">
        <v>4000</v>
      </c>
      <c r="L23" s="175">
        <v>4500</v>
      </c>
      <c r="M23" s="175">
        <v>4000</v>
      </c>
      <c r="N23" s="175">
        <v>4000</v>
      </c>
      <c r="O23" s="175">
        <v>4000</v>
      </c>
      <c r="P23" s="175">
        <v>4000</v>
      </c>
      <c r="Q23" s="175">
        <v>4500</v>
      </c>
      <c r="R23" s="175">
        <v>5000</v>
      </c>
      <c r="S23" s="175">
        <v>4000</v>
      </c>
      <c r="T23" s="175">
        <v>4000</v>
      </c>
      <c r="U23" s="190">
        <f>SUM(I23:T23)</f>
        <v>50000</v>
      </c>
      <c r="V23" s="221"/>
      <c r="W23" s="187"/>
      <c r="Y23" s="187"/>
    </row>
    <row r="24" spans="1:25">
      <c r="A24" s="187" t="s">
        <v>37</v>
      </c>
      <c r="B24" s="175">
        <v>7000</v>
      </c>
      <c r="C24" s="176">
        <v>0</v>
      </c>
      <c r="D24" s="175" t="e">
        <f>+'[2]Budget EPGC 2023'!E23</f>
        <v>#REF!</v>
      </c>
      <c r="E24" s="191">
        <v>7600</v>
      </c>
      <c r="F24" s="189" t="e">
        <f>(H24-D24)/H24</f>
        <v>#REF!</v>
      </c>
      <c r="G24" s="175">
        <f>H24-E24</f>
        <v>4400</v>
      </c>
      <c r="H24" s="190">
        <f>SUM(I24:T24)</f>
        <v>12000</v>
      </c>
      <c r="I24" s="175">
        <v>1000</v>
      </c>
      <c r="J24" s="175">
        <v>1000</v>
      </c>
      <c r="K24" s="175">
        <v>1000</v>
      </c>
      <c r="L24" s="175">
        <v>1000</v>
      </c>
      <c r="M24" s="175">
        <v>1000</v>
      </c>
      <c r="N24" s="175">
        <v>1000</v>
      </c>
      <c r="O24" s="175">
        <v>1000</v>
      </c>
      <c r="P24" s="175">
        <v>1000</v>
      </c>
      <c r="Q24" s="175">
        <v>1000</v>
      </c>
      <c r="R24" s="175">
        <v>1000</v>
      </c>
      <c r="S24" s="175">
        <v>1000</v>
      </c>
      <c r="T24" s="175">
        <v>1000</v>
      </c>
      <c r="U24" s="190">
        <f>SUM(I24:T24)</f>
        <v>12000</v>
      </c>
      <c r="V24" s="221"/>
      <c r="W24" s="187"/>
      <c r="Y24" s="187"/>
    </row>
    <row r="25" spans="1:25">
      <c r="A25" s="187"/>
      <c r="B25" s="175">
        <v>5000</v>
      </c>
      <c r="E25" s="191"/>
      <c r="F25" s="189"/>
      <c r="G25" s="175"/>
      <c r="H25" s="190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90"/>
      <c r="V25" s="221"/>
      <c r="W25" s="187"/>
      <c r="Y25" s="187"/>
    </row>
    <row r="26" s="172" customFormat="1" spans="1:25">
      <c r="A26" s="192" t="s">
        <v>38</v>
      </c>
      <c r="B26" s="206">
        <f>SUM(B21:B25)</f>
        <v>77084.86</v>
      </c>
      <c r="C26" s="193">
        <f>SUM(C21:C24)</f>
        <v>66670</v>
      </c>
      <c r="D26" s="206" t="e">
        <f>SUM(D21:D25)</f>
        <v>#REF!</v>
      </c>
      <c r="E26" s="194">
        <f>SUM(E21:E24)</f>
        <v>85800</v>
      </c>
      <c r="F26" s="195" t="e">
        <f>(H26-D26)/H26</f>
        <v>#REF!</v>
      </c>
      <c r="G26" s="190">
        <f>H26-E26</f>
        <v>34700</v>
      </c>
      <c r="H26" s="190">
        <f t="shared" ref="H26:U26" si="7">SUM(H21:H24)</f>
        <v>120500</v>
      </c>
      <c r="I26" s="190">
        <f t="shared" si="7"/>
        <v>9666.66666666667</v>
      </c>
      <c r="J26" s="190">
        <f t="shared" si="7"/>
        <v>9666.66666666667</v>
      </c>
      <c r="K26" s="190">
        <f t="shared" si="7"/>
        <v>9916.66666666667</v>
      </c>
      <c r="L26" s="190">
        <f t="shared" si="7"/>
        <v>10416.6666666667</v>
      </c>
      <c r="M26" s="190">
        <f t="shared" si="7"/>
        <v>9916.66666666667</v>
      </c>
      <c r="N26" s="190">
        <f t="shared" si="7"/>
        <v>9916.66666666667</v>
      </c>
      <c r="O26" s="190">
        <f t="shared" si="7"/>
        <v>9916.66666666667</v>
      </c>
      <c r="P26" s="190">
        <f t="shared" si="7"/>
        <v>9916.66666666667</v>
      </c>
      <c r="Q26" s="190">
        <f t="shared" si="7"/>
        <v>10416.6666666667</v>
      </c>
      <c r="R26" s="190">
        <f t="shared" si="7"/>
        <v>10916.6666666667</v>
      </c>
      <c r="S26" s="190">
        <f t="shared" si="7"/>
        <v>9916.66666666667</v>
      </c>
      <c r="T26" s="190">
        <f t="shared" si="7"/>
        <v>9916.66666666667</v>
      </c>
      <c r="U26" s="190">
        <f t="shared" si="7"/>
        <v>120500</v>
      </c>
      <c r="V26" s="186"/>
      <c r="W26" s="192"/>
      <c r="Y26" s="192"/>
    </row>
    <row r="27" spans="1:25">
      <c r="A27" s="187"/>
      <c r="E27" s="191"/>
      <c r="F27" s="189"/>
      <c r="G27" s="175"/>
      <c r="H27" s="190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90"/>
      <c r="V27" s="221"/>
      <c r="W27" s="187"/>
      <c r="Y27" s="187"/>
    </row>
    <row r="28" spans="1:25">
      <c r="A28" s="187"/>
      <c r="C28" s="175"/>
      <c r="E28" s="191"/>
      <c r="F28" s="189"/>
      <c r="G28" s="175"/>
      <c r="H28" s="190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90"/>
      <c r="V28" s="221"/>
      <c r="W28" s="187"/>
      <c r="Y28" s="187"/>
    </row>
    <row r="29" spans="1:25">
      <c r="A29" s="187" t="s">
        <v>39</v>
      </c>
      <c r="B29" s="175">
        <v>765</v>
      </c>
      <c r="C29" s="175">
        <v>241</v>
      </c>
      <c r="D29" s="175" t="e">
        <f>+'[2]Budget EPGC 2023'!E29</f>
        <v>#REF!</v>
      </c>
      <c r="E29" s="191">
        <v>2900</v>
      </c>
      <c r="F29" s="189" t="e">
        <f>(H29-D29)/H29</f>
        <v>#REF!</v>
      </c>
      <c r="G29" s="175">
        <f>H29-E29</f>
        <v>100</v>
      </c>
      <c r="H29" s="190">
        <v>3000</v>
      </c>
      <c r="I29" s="175">
        <f t="shared" ref="I29:T29" si="8">$H29/12</f>
        <v>250</v>
      </c>
      <c r="J29" s="175">
        <f t="shared" si="8"/>
        <v>250</v>
      </c>
      <c r="K29" s="175">
        <f t="shared" si="8"/>
        <v>250</v>
      </c>
      <c r="L29" s="175">
        <f t="shared" si="8"/>
        <v>250</v>
      </c>
      <c r="M29" s="175">
        <f t="shared" si="8"/>
        <v>250</v>
      </c>
      <c r="N29" s="175">
        <f t="shared" si="8"/>
        <v>250</v>
      </c>
      <c r="O29" s="175">
        <f t="shared" si="8"/>
        <v>250</v>
      </c>
      <c r="P29" s="175">
        <f t="shared" si="8"/>
        <v>250</v>
      </c>
      <c r="Q29" s="175">
        <f t="shared" si="8"/>
        <v>250</v>
      </c>
      <c r="R29" s="175">
        <f t="shared" si="8"/>
        <v>250</v>
      </c>
      <c r="S29" s="175">
        <f t="shared" si="8"/>
        <v>250</v>
      </c>
      <c r="T29" s="175">
        <f t="shared" si="8"/>
        <v>250</v>
      </c>
      <c r="U29" s="190">
        <f>SUM(I29:T29)</f>
        <v>3000</v>
      </c>
      <c r="V29" s="221"/>
      <c r="W29" s="187"/>
      <c r="Y29" s="187"/>
    </row>
    <row r="30" spans="1:25">
      <c r="A30" s="187"/>
      <c r="E30" s="191"/>
      <c r="F30" s="189"/>
      <c r="G30" s="175"/>
      <c r="H30" s="190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90"/>
      <c r="V30" s="221"/>
      <c r="W30" s="187"/>
      <c r="Y30" s="187"/>
    </row>
    <row r="31" s="172" customFormat="1" spans="1:25">
      <c r="A31" s="192" t="s">
        <v>40</v>
      </c>
      <c r="B31" s="190">
        <v>2179987.7938843</v>
      </c>
      <c r="C31" s="190">
        <f>+C9+C15+C26+C28+C29</f>
        <v>2544360</v>
      </c>
      <c r="D31" s="190" t="e">
        <f>+'[2]Budget EPGC 2023'!E31</f>
        <v>#REF!</v>
      </c>
      <c r="E31" s="194">
        <f>+E9+E15+E26+E28+E29</f>
        <v>2820660</v>
      </c>
      <c r="F31" s="195" t="e">
        <f>(H31-D31)/H31</f>
        <v>#REF!</v>
      </c>
      <c r="G31" s="190">
        <f>H31-E31</f>
        <v>234663.181039435</v>
      </c>
      <c r="H31" s="190">
        <f>H9+H15+H26+H28+H29</f>
        <v>3055323.18103943</v>
      </c>
      <c r="I31" s="190">
        <f t="shared" ref="I31:T31" si="9">I29+I28+I26+I15+I9</f>
        <v>251602.344487348</v>
      </c>
      <c r="J31" s="190">
        <f t="shared" si="9"/>
        <v>266283.072420329</v>
      </c>
      <c r="K31" s="190">
        <f t="shared" si="9"/>
        <v>278495.226037894</v>
      </c>
      <c r="L31" s="190">
        <f t="shared" si="9"/>
        <v>299138.234899629</v>
      </c>
      <c r="M31" s="190">
        <f t="shared" si="9"/>
        <v>283705.361200619</v>
      </c>
      <c r="N31" s="190">
        <f t="shared" si="9"/>
        <v>200527.226705527</v>
      </c>
      <c r="O31" s="190">
        <f t="shared" si="9"/>
        <v>210907.673046808</v>
      </c>
      <c r="P31" s="190">
        <f t="shared" si="9"/>
        <v>197791.265583811</v>
      </c>
      <c r="Q31" s="190">
        <f t="shared" si="9"/>
        <v>246780.719865015</v>
      </c>
      <c r="R31" s="190">
        <f t="shared" si="9"/>
        <v>340521.452208434</v>
      </c>
      <c r="S31" s="190">
        <f t="shared" si="9"/>
        <v>266866.957292011</v>
      </c>
      <c r="T31" s="190">
        <f t="shared" si="9"/>
        <v>212703.647292011</v>
      </c>
      <c r="U31" s="190">
        <f>SUM(I31:T31)</f>
        <v>3055323.18103944</v>
      </c>
      <c r="V31" s="186"/>
      <c r="W31" s="192"/>
      <c r="Y31" s="192"/>
    </row>
    <row r="32" spans="1:25">
      <c r="A32" s="187"/>
      <c r="C32" s="175"/>
      <c r="E32" s="191"/>
      <c r="F32" s="207"/>
      <c r="G32" s="175"/>
      <c r="H32" s="190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90"/>
      <c r="V32" s="221"/>
      <c r="W32" s="187"/>
      <c r="Y32" s="187"/>
    </row>
    <row r="33" s="173" customFormat="1" spans="1:25">
      <c r="A33" s="208" t="s">
        <v>41</v>
      </c>
      <c r="B33" s="209"/>
      <c r="C33" s="209"/>
      <c r="D33" s="209"/>
      <c r="E33" s="209"/>
      <c r="F33" s="210"/>
      <c r="G33" s="211"/>
      <c r="H33" s="212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8"/>
      <c r="V33" s="243"/>
      <c r="W33" s="222"/>
      <c r="Y33" s="222"/>
    </row>
    <row r="34" s="173" customFormat="1" ht="15" hidden="1" customHeight="1" spans="1:25">
      <c r="A34" s="213"/>
      <c r="B34" s="211"/>
      <c r="C34" s="211"/>
      <c r="D34" s="211"/>
      <c r="E34" s="211"/>
      <c r="F34" s="210"/>
      <c r="G34" s="211"/>
      <c r="H34" s="211"/>
      <c r="I34" s="211">
        <f t="shared" ref="I34:T34" si="10">I35*2.3%</f>
        <v>1104</v>
      </c>
      <c r="J34" s="211">
        <f t="shared" si="10"/>
        <v>1104</v>
      </c>
      <c r="K34" s="211">
        <f t="shared" si="10"/>
        <v>1104</v>
      </c>
      <c r="L34" s="211">
        <f t="shared" si="10"/>
        <v>1104</v>
      </c>
      <c r="M34" s="211">
        <f t="shared" si="10"/>
        <v>1449</v>
      </c>
      <c r="N34" s="211">
        <f t="shared" si="10"/>
        <v>1495</v>
      </c>
      <c r="O34" s="211">
        <f t="shared" si="10"/>
        <v>1150</v>
      </c>
      <c r="P34" s="211">
        <f t="shared" si="10"/>
        <v>1150</v>
      </c>
      <c r="Q34" s="211">
        <f t="shared" si="10"/>
        <v>1150</v>
      </c>
      <c r="R34" s="211">
        <f t="shared" si="10"/>
        <v>1150</v>
      </c>
      <c r="S34" s="211">
        <f t="shared" si="10"/>
        <v>1150</v>
      </c>
      <c r="T34" s="211">
        <f t="shared" si="10"/>
        <v>1495</v>
      </c>
      <c r="U34" s="218">
        <f>SUM(I34:T34)</f>
        <v>14605</v>
      </c>
      <c r="V34" s="243"/>
      <c r="W34" s="222"/>
      <c r="Y34" s="222"/>
    </row>
    <row r="35" s="173" customFormat="1" ht="15" hidden="1" customHeight="1" spans="1:25">
      <c r="A35" s="214" t="s">
        <v>42</v>
      </c>
      <c r="B35" s="211">
        <v>635000</v>
      </c>
      <c r="C35" s="211"/>
      <c r="D35" s="211"/>
      <c r="E35" s="211"/>
      <c r="F35" s="212" t="e">
        <f>(#REF!-#REF!)/#REF!</f>
        <v>#REF!</v>
      </c>
      <c r="G35" s="211" t="e">
        <f>#REF!-#REF!</f>
        <v>#REF!</v>
      </c>
      <c r="H35" s="211">
        <f>SUM(I35:T35)</f>
        <v>635000</v>
      </c>
      <c r="I35" s="232">
        <v>48000</v>
      </c>
      <c r="J35" s="233">
        <v>48000</v>
      </c>
      <c r="K35" s="232">
        <v>48000</v>
      </c>
      <c r="L35" s="232">
        <v>48000</v>
      </c>
      <c r="M35" s="233">
        <v>63000</v>
      </c>
      <c r="N35" s="232">
        <v>65000</v>
      </c>
      <c r="O35" s="233">
        <v>50000</v>
      </c>
      <c r="P35" s="232">
        <v>50000</v>
      </c>
      <c r="Q35" s="233">
        <v>50000</v>
      </c>
      <c r="R35" s="232">
        <v>50000</v>
      </c>
      <c r="S35" s="233">
        <v>50000</v>
      </c>
      <c r="T35" s="232">
        <v>65000</v>
      </c>
      <c r="U35" s="218">
        <f>SUM(I35:T35)</f>
        <v>635000</v>
      </c>
      <c r="V35" s="243"/>
      <c r="W35" s="222"/>
      <c r="Y35" s="222"/>
    </row>
    <row r="36" s="173" customFormat="1" spans="1:25">
      <c r="A36" s="214" t="s">
        <v>43</v>
      </c>
      <c r="B36" s="211">
        <v>677205</v>
      </c>
      <c r="C36" s="211">
        <v>829523</v>
      </c>
      <c r="D36" s="211" t="e">
        <f>+[2]Budget_EPGC_2023!E36</f>
        <v>#REF!</v>
      </c>
      <c r="E36" s="215">
        <v>949296</v>
      </c>
      <c r="F36" s="212" t="e">
        <f>+G36/B36</f>
        <v>#REF!</v>
      </c>
      <c r="G36" s="211" t="e">
        <f>+H36-D36</f>
        <v>#REF!</v>
      </c>
      <c r="H36" s="211">
        <f>SUM(I36:T36)</f>
        <v>949296</v>
      </c>
      <c r="I36" s="232">
        <v>75333</v>
      </c>
      <c r="J36" s="232">
        <v>75333</v>
      </c>
      <c r="K36" s="232">
        <v>75333</v>
      </c>
      <c r="L36" s="232">
        <v>75333</v>
      </c>
      <c r="M36" s="232">
        <v>90433</v>
      </c>
      <c r="N36" s="232">
        <v>90433</v>
      </c>
      <c r="O36" s="232">
        <v>75333</v>
      </c>
      <c r="P36" s="232">
        <v>75333</v>
      </c>
      <c r="Q36" s="232">
        <v>75333</v>
      </c>
      <c r="R36" s="232">
        <v>75333</v>
      </c>
      <c r="S36" s="232">
        <v>75333</v>
      </c>
      <c r="T36" s="232">
        <v>90433</v>
      </c>
      <c r="U36" s="218">
        <f>SUM(I36:T36)</f>
        <v>949296</v>
      </c>
      <c r="V36" s="243"/>
      <c r="W36" s="222"/>
      <c r="Y36" s="222"/>
    </row>
    <row r="37" s="173" customFormat="1" spans="1:25">
      <c r="A37" s="214" t="s">
        <v>44</v>
      </c>
      <c r="B37" s="211">
        <v>10400</v>
      </c>
      <c r="C37" s="211"/>
      <c r="D37" s="211" t="e">
        <f>+[2]Budget_EPGC_2023!E37</f>
        <v>#REF!</v>
      </c>
      <c r="E37" s="215">
        <v>20000</v>
      </c>
      <c r="F37" s="212"/>
      <c r="G37" s="211" t="e">
        <f>+H37-D37</f>
        <v>#REF!</v>
      </c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8"/>
      <c r="V37" s="243"/>
      <c r="W37" s="222"/>
      <c r="Y37" s="222"/>
    </row>
    <row r="38" s="173" customFormat="1" spans="1:25">
      <c r="A38" s="213" t="s">
        <v>45</v>
      </c>
      <c r="B38" s="211">
        <v>34716</v>
      </c>
      <c r="C38" s="211"/>
      <c r="D38" s="211" t="e">
        <f>+[2]Budget_EPGC_2023!E38</f>
        <v>#REF!</v>
      </c>
      <c r="E38" s="216"/>
      <c r="F38" s="212"/>
      <c r="G38" s="211" t="e">
        <f>+H38-D38</f>
        <v>#REF!</v>
      </c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8"/>
      <c r="V38" s="243"/>
      <c r="W38" s="222"/>
      <c r="Y38" s="222"/>
    </row>
    <row r="39" s="173" customFormat="1" spans="1:25">
      <c r="A39" s="214" t="s">
        <v>46</v>
      </c>
      <c r="B39" s="211">
        <v>330000</v>
      </c>
      <c r="C39" s="211">
        <v>246994</v>
      </c>
      <c r="D39" s="211" t="e">
        <f>+[2]Budget_EPGC_2023!E39</f>
        <v>#REF!</v>
      </c>
      <c r="E39" s="215">
        <v>288000</v>
      </c>
      <c r="F39" s="212" t="e">
        <f>+G39/B39</f>
        <v>#REF!</v>
      </c>
      <c r="G39" s="211" t="e">
        <f>+H39-D39</f>
        <v>#REF!</v>
      </c>
      <c r="H39" s="211">
        <v>307200</v>
      </c>
      <c r="I39" s="211">
        <v>25600</v>
      </c>
      <c r="J39" s="211">
        <v>25600</v>
      </c>
      <c r="K39" s="211">
        <v>25600</v>
      </c>
      <c r="L39" s="211">
        <v>25600</v>
      </c>
      <c r="M39" s="211">
        <v>25600</v>
      </c>
      <c r="N39" s="211">
        <v>25600</v>
      </c>
      <c r="O39" s="211">
        <v>25600</v>
      </c>
      <c r="P39" s="211">
        <v>25600</v>
      </c>
      <c r="Q39" s="211">
        <v>25600</v>
      </c>
      <c r="R39" s="211">
        <v>25600</v>
      </c>
      <c r="S39" s="211">
        <v>25600</v>
      </c>
      <c r="T39" s="211">
        <v>25600</v>
      </c>
      <c r="U39" s="218">
        <f>SUM(I39:T39)</f>
        <v>307200</v>
      </c>
      <c r="V39" s="243"/>
      <c r="W39" s="222"/>
      <c r="Y39" s="222"/>
    </row>
    <row r="40" s="173" customFormat="1" spans="1:25">
      <c r="A40" s="214" t="s">
        <v>47</v>
      </c>
      <c r="B40" s="211">
        <v>10000</v>
      </c>
      <c r="C40" s="211"/>
      <c r="D40" s="211" t="e">
        <f>+[2]Budget_EPGC_2023!E41</f>
        <v>#REF!</v>
      </c>
      <c r="E40" s="216"/>
      <c r="F40" s="217"/>
      <c r="G40" s="211"/>
      <c r="H40" s="211">
        <v>12000</v>
      </c>
      <c r="I40" s="211">
        <v>1000</v>
      </c>
      <c r="J40" s="211">
        <v>1000</v>
      </c>
      <c r="K40" s="211">
        <v>1000</v>
      </c>
      <c r="L40" s="211">
        <v>1000</v>
      </c>
      <c r="M40" s="211">
        <v>1000</v>
      </c>
      <c r="N40" s="211">
        <v>1000</v>
      </c>
      <c r="O40" s="211">
        <v>1000</v>
      </c>
      <c r="P40" s="211">
        <v>1000</v>
      </c>
      <c r="Q40" s="211">
        <v>1000</v>
      </c>
      <c r="R40" s="211">
        <v>1000</v>
      </c>
      <c r="S40" s="211">
        <v>1000</v>
      </c>
      <c r="T40" s="211">
        <v>1000</v>
      </c>
      <c r="U40" s="218">
        <f>SUM(I40:T40)</f>
        <v>12000</v>
      </c>
      <c r="V40" s="243"/>
      <c r="W40" s="222"/>
      <c r="Y40" s="222"/>
    </row>
    <row r="41" s="173" customFormat="1" spans="1:25">
      <c r="A41" s="214" t="s">
        <v>48</v>
      </c>
      <c r="B41" s="211">
        <v>0</v>
      </c>
      <c r="C41" s="211"/>
      <c r="D41" s="211" t="e">
        <f>+[2]Budget_EPGC_2023!E42</f>
        <v>#REF!</v>
      </c>
      <c r="E41" s="216"/>
      <c r="F41" s="217"/>
      <c r="G41" s="211" t="e">
        <f>+H41-D41</f>
        <v>#REF!</v>
      </c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8"/>
      <c r="V41" s="243"/>
      <c r="W41" s="222"/>
      <c r="Y41" s="222"/>
    </row>
    <row r="42" s="173" customFormat="1" spans="1:25">
      <c r="A42" s="214" t="s">
        <v>49</v>
      </c>
      <c r="B42" s="211"/>
      <c r="C42" s="211"/>
      <c r="D42" s="211"/>
      <c r="E42" s="215"/>
      <c r="F42" s="217"/>
      <c r="G42" s="211"/>
      <c r="H42" s="218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8"/>
      <c r="V42" s="243"/>
      <c r="W42" s="222"/>
      <c r="Y42" s="222"/>
    </row>
    <row r="43" s="173" customFormat="1" spans="1:25">
      <c r="A43" s="214"/>
      <c r="B43" s="211"/>
      <c r="C43" s="211"/>
      <c r="D43" s="211"/>
      <c r="E43" s="211"/>
      <c r="F43" s="217"/>
      <c r="G43" s="211"/>
      <c r="H43" s="218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8"/>
      <c r="V43" s="243"/>
      <c r="W43" s="222"/>
      <c r="Y43" s="222"/>
    </row>
    <row r="44" s="173" customFormat="1" spans="1:25">
      <c r="A44" s="214" t="s">
        <v>50</v>
      </c>
      <c r="B44" s="211">
        <v>1062321</v>
      </c>
      <c r="C44" s="211">
        <f>SUM(C36:C42)</f>
        <v>1076517</v>
      </c>
      <c r="D44" s="211" t="e">
        <f>+[2]Budget_EPGC_2023!E45</f>
        <v>#REF!</v>
      </c>
      <c r="E44" s="211">
        <f>SUM(E36:E43)</f>
        <v>1257296</v>
      </c>
      <c r="F44" s="212" t="e">
        <f>(H44-D44)/H44</f>
        <v>#REF!</v>
      </c>
      <c r="G44" s="211" t="e">
        <f>H44-D44</f>
        <v>#REF!</v>
      </c>
      <c r="H44" s="211">
        <f>SUM(I44:T44)</f>
        <v>1268496</v>
      </c>
      <c r="I44" s="211">
        <f t="shared" ref="I44:U44" si="11">SUM(I36:I43)</f>
        <v>101933</v>
      </c>
      <c r="J44" s="211">
        <f t="shared" si="11"/>
        <v>101933</v>
      </c>
      <c r="K44" s="211">
        <f t="shared" si="11"/>
        <v>101933</v>
      </c>
      <c r="L44" s="211">
        <f t="shared" si="11"/>
        <v>101933</v>
      </c>
      <c r="M44" s="211">
        <f t="shared" si="11"/>
        <v>117033</v>
      </c>
      <c r="N44" s="211">
        <f t="shared" si="11"/>
        <v>117033</v>
      </c>
      <c r="O44" s="211">
        <f t="shared" si="11"/>
        <v>101933</v>
      </c>
      <c r="P44" s="211">
        <f t="shared" si="11"/>
        <v>101933</v>
      </c>
      <c r="Q44" s="211">
        <f t="shared" si="11"/>
        <v>101933</v>
      </c>
      <c r="R44" s="211">
        <f t="shared" si="11"/>
        <v>101933</v>
      </c>
      <c r="S44" s="211">
        <f t="shared" si="11"/>
        <v>101933</v>
      </c>
      <c r="T44" s="211">
        <f t="shared" si="11"/>
        <v>117033</v>
      </c>
      <c r="U44" s="218">
        <f t="shared" si="11"/>
        <v>1268496</v>
      </c>
      <c r="V44" s="243"/>
      <c r="W44" s="222"/>
      <c r="Y44" s="222"/>
    </row>
    <row r="45" spans="1:25">
      <c r="A45" s="187"/>
      <c r="C45" s="175"/>
      <c r="E45" s="191"/>
      <c r="F45" s="207"/>
      <c r="G45" s="175"/>
      <c r="H45" s="219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90"/>
      <c r="V45" s="221"/>
      <c r="W45" s="187"/>
      <c r="Y45" s="187"/>
    </row>
    <row r="46" spans="1:25">
      <c r="A46" s="187" t="s">
        <v>51</v>
      </c>
      <c r="B46" s="175">
        <v>4536</v>
      </c>
      <c r="C46" s="176">
        <v>3402</v>
      </c>
      <c r="D46" s="175" t="e">
        <f>+'[2]Budget EPGC 2023'!E47</f>
        <v>#REF!</v>
      </c>
      <c r="E46" s="191">
        <v>6000</v>
      </c>
      <c r="F46" s="189" t="e">
        <f>(H46-D46)/H46</f>
        <v>#REF!</v>
      </c>
      <c r="G46" s="175">
        <f>H46-E46</f>
        <v>36</v>
      </c>
      <c r="H46" s="220">
        <v>6036</v>
      </c>
      <c r="I46" s="234">
        <v>503</v>
      </c>
      <c r="J46" s="234">
        <v>503</v>
      </c>
      <c r="K46" s="234">
        <v>503</v>
      </c>
      <c r="L46" s="234">
        <v>503</v>
      </c>
      <c r="M46" s="234">
        <v>503</v>
      </c>
      <c r="N46" s="234">
        <v>503</v>
      </c>
      <c r="O46" s="234">
        <v>503</v>
      </c>
      <c r="P46" s="234">
        <v>503</v>
      </c>
      <c r="Q46" s="234">
        <v>503</v>
      </c>
      <c r="R46" s="234">
        <v>503</v>
      </c>
      <c r="S46" s="234">
        <v>503</v>
      </c>
      <c r="T46" s="234">
        <v>503</v>
      </c>
      <c r="U46" s="220">
        <v>6036</v>
      </c>
      <c r="V46" s="244"/>
      <c r="W46" s="187"/>
      <c r="Y46" s="187"/>
    </row>
    <row r="47" spans="1:25">
      <c r="A47" s="187" t="s">
        <v>52</v>
      </c>
      <c r="B47" s="175">
        <v>27600</v>
      </c>
      <c r="C47" s="176">
        <v>58751</v>
      </c>
      <c r="D47" s="175" t="e">
        <f>+'[2]Budget EPGC 2023'!E48</f>
        <v>#REF!</v>
      </c>
      <c r="E47" s="191">
        <v>15000</v>
      </c>
      <c r="F47" s="189" t="e">
        <f>(H47-D47)/H47</f>
        <v>#REF!</v>
      </c>
      <c r="G47" s="175">
        <f>H47-E47</f>
        <v>-5004</v>
      </c>
      <c r="H47" s="220">
        <v>9996</v>
      </c>
      <c r="I47" s="234">
        <v>833</v>
      </c>
      <c r="J47" s="234">
        <v>833</v>
      </c>
      <c r="K47" s="234">
        <v>833</v>
      </c>
      <c r="L47" s="234">
        <v>833</v>
      </c>
      <c r="M47" s="234">
        <v>833</v>
      </c>
      <c r="N47" s="234">
        <v>833</v>
      </c>
      <c r="O47" s="234">
        <v>833</v>
      </c>
      <c r="P47" s="234">
        <v>833</v>
      </c>
      <c r="Q47" s="234">
        <v>833</v>
      </c>
      <c r="R47" s="234">
        <v>833</v>
      </c>
      <c r="S47" s="234">
        <v>833</v>
      </c>
      <c r="T47" s="234">
        <v>833</v>
      </c>
      <c r="U47" s="220">
        <v>9996</v>
      </c>
      <c r="V47" s="221"/>
      <c r="W47" s="187"/>
      <c r="Y47" s="187"/>
    </row>
    <row r="48" spans="1:25">
      <c r="A48" s="187" t="s">
        <v>36</v>
      </c>
      <c r="B48" s="175">
        <v>2400</v>
      </c>
      <c r="C48" s="176">
        <v>0</v>
      </c>
      <c r="D48" s="175" t="e">
        <f>+'[2]Budget EPGC 2023'!E49</f>
        <v>#REF!</v>
      </c>
      <c r="E48" s="191">
        <v>6500</v>
      </c>
      <c r="F48" s="189" t="e">
        <f>(H48-D48)/H48</f>
        <v>#REF!</v>
      </c>
      <c r="G48" s="175">
        <f>H48-E48</f>
        <v>500</v>
      </c>
      <c r="H48" s="190">
        <v>7000</v>
      </c>
      <c r="I48" s="188">
        <v>3000</v>
      </c>
      <c r="J48" s="235"/>
      <c r="K48" s="234">
        <v>1000</v>
      </c>
      <c r="L48" s="235"/>
      <c r="M48" s="188">
        <v>1000</v>
      </c>
      <c r="N48" s="235"/>
      <c r="O48" s="235"/>
      <c r="P48" s="234">
        <v>1000</v>
      </c>
      <c r="Q48" s="235"/>
      <c r="R48" s="235"/>
      <c r="S48" s="235"/>
      <c r="T48" s="188">
        <v>3000</v>
      </c>
      <c r="U48" s="190">
        <f>SUM(I48:T48)</f>
        <v>9000</v>
      </c>
      <c r="V48" s="221"/>
      <c r="W48" s="187"/>
      <c r="Y48" s="187"/>
    </row>
    <row r="49" spans="1:25">
      <c r="A49" s="187" t="s">
        <v>53</v>
      </c>
      <c r="B49" s="175">
        <v>25500</v>
      </c>
      <c r="C49" s="176">
        <v>41496</v>
      </c>
      <c r="D49" s="175" t="e">
        <f>+'[2]Budget EPGC 2023'!E51</f>
        <v>#REF!</v>
      </c>
      <c r="E49" s="191">
        <v>33000</v>
      </c>
      <c r="F49" s="189" t="e">
        <f>(H49-D49)/H49</f>
        <v>#REF!</v>
      </c>
      <c r="G49" s="175">
        <f>H49-E49</f>
        <v>4200</v>
      </c>
      <c r="H49" s="190">
        <f>SUM(I49:T49)</f>
        <v>37200</v>
      </c>
      <c r="I49" s="175">
        <v>3100</v>
      </c>
      <c r="J49" s="175">
        <v>3100</v>
      </c>
      <c r="K49" s="175">
        <v>3100</v>
      </c>
      <c r="L49" s="175">
        <v>3100</v>
      </c>
      <c r="M49" s="175">
        <v>3100</v>
      </c>
      <c r="N49" s="175">
        <v>3100</v>
      </c>
      <c r="O49" s="175">
        <v>3100</v>
      </c>
      <c r="P49" s="175">
        <v>3100</v>
      </c>
      <c r="Q49" s="175">
        <v>3100</v>
      </c>
      <c r="R49" s="175">
        <v>3100</v>
      </c>
      <c r="S49" s="175">
        <v>3100</v>
      </c>
      <c r="T49" s="175">
        <v>3100</v>
      </c>
      <c r="U49" s="190">
        <f>SUM(I49:T49)</f>
        <v>37200</v>
      </c>
      <c r="V49" s="221"/>
      <c r="W49" s="187"/>
      <c r="Y49" s="187"/>
    </row>
    <row r="50" spans="1:25">
      <c r="A50" s="187"/>
      <c r="E50" s="191"/>
      <c r="F50" s="207"/>
      <c r="G50" s="175"/>
      <c r="H50" s="190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90"/>
      <c r="V50" s="221"/>
      <c r="W50" s="187"/>
      <c r="Y50" s="187"/>
    </row>
    <row r="51" spans="1:25">
      <c r="A51" s="187" t="s">
        <v>54</v>
      </c>
      <c r="B51" s="175">
        <v>60036</v>
      </c>
      <c r="C51" s="175">
        <f>SUM(C46:C49)</f>
        <v>103649</v>
      </c>
      <c r="D51" s="175" t="e">
        <f>+'[2]Budget EPGC 2023'!E53</f>
        <v>#REF!</v>
      </c>
      <c r="E51" s="194">
        <f>SUM(E46:E49)</f>
        <v>60500</v>
      </c>
      <c r="F51" s="189" t="e">
        <f>(H51-D51)/H51</f>
        <v>#REF!</v>
      </c>
      <c r="G51" s="175">
        <f>H51-E51</f>
        <v>-268</v>
      </c>
      <c r="H51" s="190">
        <f t="shared" ref="H51:U51" si="12">SUM(H46:H49)</f>
        <v>60232</v>
      </c>
      <c r="I51" s="175">
        <f t="shared" si="12"/>
        <v>7436</v>
      </c>
      <c r="J51" s="175">
        <f t="shared" si="12"/>
        <v>4436</v>
      </c>
      <c r="K51" s="175">
        <f t="shared" si="12"/>
        <v>5436</v>
      </c>
      <c r="L51" s="175">
        <f t="shared" si="12"/>
        <v>4436</v>
      </c>
      <c r="M51" s="175">
        <f t="shared" si="12"/>
        <v>5436</v>
      </c>
      <c r="N51" s="175">
        <f t="shared" si="12"/>
        <v>4436</v>
      </c>
      <c r="O51" s="175">
        <f t="shared" si="12"/>
        <v>4436</v>
      </c>
      <c r="P51" s="175">
        <f t="shared" si="12"/>
        <v>5436</v>
      </c>
      <c r="Q51" s="175">
        <f t="shared" si="12"/>
        <v>4436</v>
      </c>
      <c r="R51" s="175">
        <f t="shared" si="12"/>
        <v>4436</v>
      </c>
      <c r="S51" s="175">
        <f t="shared" si="12"/>
        <v>4436</v>
      </c>
      <c r="T51" s="175">
        <f t="shared" si="12"/>
        <v>7436</v>
      </c>
      <c r="U51" s="190">
        <f t="shared" si="12"/>
        <v>62232</v>
      </c>
      <c r="V51" s="221"/>
      <c r="W51" s="187"/>
      <c r="Y51" s="187"/>
    </row>
    <row r="52" spans="1:25">
      <c r="A52" s="187"/>
      <c r="E52" s="191"/>
      <c r="F52" s="207"/>
      <c r="G52" s="221"/>
      <c r="H52" s="190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90"/>
      <c r="V52" s="221"/>
      <c r="W52" s="187"/>
      <c r="Y52" s="187"/>
    </row>
    <row r="53" spans="1:25">
      <c r="A53" s="222" t="s">
        <v>55</v>
      </c>
      <c r="B53" s="223">
        <v>254000</v>
      </c>
      <c r="C53" s="223">
        <v>365297</v>
      </c>
      <c r="D53" s="223" t="e">
        <f>+'[2]Budget EPGC 2023'!E55</f>
        <v>#REF!</v>
      </c>
      <c r="E53" s="211">
        <v>421000</v>
      </c>
      <c r="F53" s="189" t="e">
        <f>(H53-D53)/H53</f>
        <v>#REF!</v>
      </c>
      <c r="G53" s="223">
        <f>H53-E53</f>
        <v>0</v>
      </c>
      <c r="H53" s="224">
        <f>SUM(I53:T53)</f>
        <v>421000</v>
      </c>
      <c r="I53" s="223">
        <v>39398</v>
      </c>
      <c r="J53" s="223">
        <v>33993</v>
      </c>
      <c r="K53" s="223">
        <v>29735</v>
      </c>
      <c r="L53" s="223">
        <v>19183</v>
      </c>
      <c r="M53" s="223">
        <v>34564</v>
      </c>
      <c r="N53" s="223">
        <v>90795</v>
      </c>
      <c r="O53" s="223">
        <v>23934</v>
      </c>
      <c r="P53" s="223">
        <v>29102</v>
      </c>
      <c r="Q53" s="223">
        <v>50580</v>
      </c>
      <c r="R53" s="223">
        <v>21092</v>
      </c>
      <c r="S53" s="223">
        <v>37731</v>
      </c>
      <c r="T53" s="223">
        <v>10893</v>
      </c>
      <c r="U53" s="224">
        <f>SUM(I53:T53)</f>
        <v>421000</v>
      </c>
      <c r="V53" s="221"/>
      <c r="W53" s="187"/>
      <c r="Y53" s="187"/>
    </row>
    <row r="54" spans="1:25">
      <c r="A54" s="222" t="s">
        <v>56</v>
      </c>
      <c r="B54" s="223">
        <v>35000</v>
      </c>
      <c r="C54" s="223">
        <v>89346</v>
      </c>
      <c r="D54" s="223" t="e">
        <f>+'[2]Budget EPGC 2023'!E56</f>
        <v>#REF!</v>
      </c>
      <c r="E54" s="211">
        <v>64700</v>
      </c>
      <c r="F54" s="189" t="e">
        <f>(H54-D54)/H54</f>
        <v>#REF!</v>
      </c>
      <c r="G54" s="223">
        <f>H54-E54</f>
        <v>0</v>
      </c>
      <c r="H54" s="224">
        <v>64700</v>
      </c>
      <c r="I54" s="223">
        <v>5391.667</v>
      </c>
      <c r="J54" s="223">
        <v>5391.667</v>
      </c>
      <c r="K54" s="223">
        <v>5391.667</v>
      </c>
      <c r="L54" s="223">
        <v>5391.667</v>
      </c>
      <c r="M54" s="223">
        <v>5391.667</v>
      </c>
      <c r="N54" s="223">
        <v>5391.667</v>
      </c>
      <c r="O54" s="223">
        <v>5391.667</v>
      </c>
      <c r="P54" s="223">
        <v>5391.667</v>
      </c>
      <c r="Q54" s="223">
        <v>5391.667</v>
      </c>
      <c r="R54" s="223">
        <v>5391.667</v>
      </c>
      <c r="S54" s="223">
        <v>5391.667</v>
      </c>
      <c r="T54" s="223">
        <v>5391.663</v>
      </c>
      <c r="U54" s="224">
        <f>SUM(I54:T54)</f>
        <v>64700</v>
      </c>
      <c r="V54" s="221"/>
      <c r="W54" s="187"/>
      <c r="Y54" s="187"/>
    </row>
    <row r="55" spans="1:25">
      <c r="A55" s="222" t="s">
        <v>57</v>
      </c>
      <c r="B55" s="223">
        <v>81000</v>
      </c>
      <c r="C55" s="223">
        <v>109661</v>
      </c>
      <c r="D55" s="223" t="e">
        <f>+'[2]Budget EPGC 2023'!E57</f>
        <v>#REF!</v>
      </c>
      <c r="E55" s="211">
        <v>160000</v>
      </c>
      <c r="F55" s="189" t="e">
        <f>(H55-D55)/H55</f>
        <v>#REF!</v>
      </c>
      <c r="G55" s="223">
        <f>H55-E55</f>
        <v>0</v>
      </c>
      <c r="H55" s="224">
        <v>160000</v>
      </c>
      <c r="I55" s="223">
        <f t="shared" ref="I55:T55" si="13">$H55/12</f>
        <v>13333.3333333333</v>
      </c>
      <c r="J55" s="223">
        <f t="shared" si="13"/>
        <v>13333.3333333333</v>
      </c>
      <c r="K55" s="223">
        <f t="shared" si="13"/>
        <v>13333.3333333333</v>
      </c>
      <c r="L55" s="223">
        <f t="shared" si="13"/>
        <v>13333.3333333333</v>
      </c>
      <c r="M55" s="223">
        <f t="shared" si="13"/>
        <v>13333.3333333333</v>
      </c>
      <c r="N55" s="223">
        <f t="shared" si="13"/>
        <v>13333.3333333333</v>
      </c>
      <c r="O55" s="223">
        <f t="shared" si="13"/>
        <v>13333.3333333333</v>
      </c>
      <c r="P55" s="223">
        <f t="shared" si="13"/>
        <v>13333.3333333333</v>
      </c>
      <c r="Q55" s="223">
        <f t="shared" si="13"/>
        <v>13333.3333333333</v>
      </c>
      <c r="R55" s="223">
        <f t="shared" si="13"/>
        <v>13333.3333333333</v>
      </c>
      <c r="S55" s="223">
        <f t="shared" si="13"/>
        <v>13333.3333333333</v>
      </c>
      <c r="T55" s="223">
        <f t="shared" si="13"/>
        <v>13333.3333333333</v>
      </c>
      <c r="U55" s="224">
        <f>SUM(I55:T55)</f>
        <v>160000</v>
      </c>
      <c r="V55" s="221"/>
      <c r="W55" s="187"/>
      <c r="Y55" s="187"/>
    </row>
    <row r="56" spans="1:25">
      <c r="A56" s="187"/>
      <c r="C56" s="175"/>
      <c r="E56" s="191"/>
      <c r="F56" s="207"/>
      <c r="G56" s="175"/>
      <c r="H56" s="190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90"/>
      <c r="V56" s="221"/>
      <c r="W56" s="187"/>
      <c r="Y56" s="187"/>
    </row>
    <row r="57" spans="1:25">
      <c r="A57" s="187" t="s">
        <v>58</v>
      </c>
      <c r="B57" s="175">
        <v>370000</v>
      </c>
      <c r="C57" s="175">
        <f>SUM(C53:C55)</f>
        <v>564304</v>
      </c>
      <c r="D57" s="175" t="e">
        <f>+'[2]Budget EPGC 2023'!E59</f>
        <v>#REF!</v>
      </c>
      <c r="E57" s="194">
        <f>SUM(E53:E56)</f>
        <v>645700</v>
      </c>
      <c r="F57" s="189" t="e">
        <f>(H57-D57)/H57</f>
        <v>#REF!</v>
      </c>
      <c r="G57" s="175">
        <f>H57-E57</f>
        <v>0</v>
      </c>
      <c r="H57" s="190">
        <f t="shared" ref="H57:U57" si="14">SUM(H53:H55)</f>
        <v>645700</v>
      </c>
      <c r="I57" s="175">
        <f t="shared" si="14"/>
        <v>58123.0003333333</v>
      </c>
      <c r="J57" s="175">
        <f t="shared" si="14"/>
        <v>52718.0003333333</v>
      </c>
      <c r="K57" s="175">
        <f t="shared" si="14"/>
        <v>48460.0003333333</v>
      </c>
      <c r="L57" s="175">
        <f t="shared" si="14"/>
        <v>37908.0003333333</v>
      </c>
      <c r="M57" s="175">
        <f t="shared" si="14"/>
        <v>53289.0003333333</v>
      </c>
      <c r="N57" s="175">
        <f t="shared" si="14"/>
        <v>109520.000333333</v>
      </c>
      <c r="O57" s="175">
        <f t="shared" si="14"/>
        <v>42659.0003333333</v>
      </c>
      <c r="P57" s="175">
        <f t="shared" si="14"/>
        <v>47827.0003333333</v>
      </c>
      <c r="Q57" s="175">
        <f t="shared" si="14"/>
        <v>69305.0003333333</v>
      </c>
      <c r="R57" s="175">
        <f t="shared" si="14"/>
        <v>39817.0003333333</v>
      </c>
      <c r="S57" s="175">
        <f t="shared" si="14"/>
        <v>56456.0003333333</v>
      </c>
      <c r="T57" s="175">
        <f t="shared" si="14"/>
        <v>29617.9963333333</v>
      </c>
      <c r="U57" s="190">
        <f t="shared" si="14"/>
        <v>645700</v>
      </c>
      <c r="V57" s="221"/>
      <c r="W57" s="187"/>
      <c r="Y57" s="187"/>
    </row>
    <row r="58" spans="1:25">
      <c r="A58" s="187"/>
      <c r="C58" s="175"/>
      <c r="E58" s="191"/>
      <c r="F58" s="207"/>
      <c r="G58" s="175"/>
      <c r="H58" s="190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90"/>
      <c r="V58" s="221"/>
      <c r="W58" s="187"/>
      <c r="Y58" s="187"/>
    </row>
    <row r="59" spans="1:25">
      <c r="A59" s="187" t="s">
        <v>59</v>
      </c>
      <c r="B59" s="175">
        <v>32204.5</v>
      </c>
      <c r="C59" s="175">
        <v>38516</v>
      </c>
      <c r="D59" s="175" t="e">
        <f>+'[2]Budget EPGC 2023'!E61</f>
        <v>#REF!</v>
      </c>
      <c r="E59" s="188">
        <v>48700</v>
      </c>
      <c r="F59" s="189" t="e">
        <f>(H59-D59)/H59</f>
        <v>#REF!</v>
      </c>
      <c r="G59" s="175">
        <f>H59-E59</f>
        <v>-5359</v>
      </c>
      <c r="H59" s="190">
        <f>U59</f>
        <v>43341</v>
      </c>
      <c r="I59" s="141">
        <v>4521</v>
      </c>
      <c r="J59" s="141">
        <v>2420</v>
      </c>
      <c r="K59" s="141">
        <v>2420</v>
      </c>
      <c r="L59" s="141">
        <v>2420</v>
      </c>
      <c r="M59" s="141">
        <v>7420</v>
      </c>
      <c r="N59" s="141">
        <v>5820</v>
      </c>
      <c r="O59" s="141">
        <v>4920</v>
      </c>
      <c r="P59" s="141">
        <v>2420</v>
      </c>
      <c r="Q59" s="141">
        <v>3420</v>
      </c>
      <c r="R59" s="141">
        <v>2720</v>
      </c>
      <c r="S59" s="141">
        <v>2420</v>
      </c>
      <c r="T59" s="141">
        <v>2420</v>
      </c>
      <c r="U59" s="190">
        <f>SUM(I59:T59)</f>
        <v>43341</v>
      </c>
      <c r="V59" s="221"/>
      <c r="W59" s="187"/>
      <c r="Y59" s="187"/>
    </row>
    <row r="60" spans="1:25">
      <c r="A60" s="187" t="s">
        <v>60</v>
      </c>
      <c r="B60" s="175">
        <v>30662.7304597217</v>
      </c>
      <c r="C60" s="175">
        <v>57051</v>
      </c>
      <c r="D60" s="175" t="e">
        <f>+'[2]Budget EPGC 2023'!E63</f>
        <v>#REF!</v>
      </c>
      <c r="E60" s="188">
        <v>52000</v>
      </c>
      <c r="F60" s="189" t="e">
        <f>(H60-D60)/H60</f>
        <v>#REF!</v>
      </c>
      <c r="G60" s="175">
        <f>H60-E60</f>
        <v>0</v>
      </c>
      <c r="H60" s="190">
        <v>52000</v>
      </c>
      <c r="I60" s="175">
        <v>4333</v>
      </c>
      <c r="J60" s="175">
        <v>4333</v>
      </c>
      <c r="K60" s="175">
        <v>4333</v>
      </c>
      <c r="L60" s="175">
        <v>4333</v>
      </c>
      <c r="M60" s="175">
        <v>4333</v>
      </c>
      <c r="N60" s="175">
        <v>4333</v>
      </c>
      <c r="O60" s="175">
        <v>4333</v>
      </c>
      <c r="P60" s="175">
        <v>4333</v>
      </c>
      <c r="Q60" s="175">
        <v>4333</v>
      </c>
      <c r="R60" s="175">
        <v>4333</v>
      </c>
      <c r="S60" s="175">
        <v>4333</v>
      </c>
      <c r="T60" s="175">
        <v>4333</v>
      </c>
      <c r="U60" s="190">
        <f>SUM(I60:T60)</f>
        <v>51996</v>
      </c>
      <c r="V60" s="221"/>
      <c r="W60" s="187"/>
      <c r="Y60" s="187"/>
    </row>
    <row r="61" spans="1:25">
      <c r="A61" s="187" t="s">
        <v>61</v>
      </c>
      <c r="B61" s="175">
        <v>15104.6854485816</v>
      </c>
      <c r="C61" s="175">
        <v>29232</v>
      </c>
      <c r="D61" s="175" t="e">
        <f>+'[2]Budget EPGC 2023'!E64</f>
        <v>#REF!</v>
      </c>
      <c r="E61" s="188">
        <v>11000</v>
      </c>
      <c r="F61" s="189" t="e">
        <f>(H61-D61)/H61</f>
        <v>#REF!</v>
      </c>
      <c r="G61" s="175">
        <f>H61-E61</f>
        <v>1000</v>
      </c>
      <c r="H61" s="190">
        <v>12000</v>
      </c>
      <c r="I61" s="175">
        <v>1000</v>
      </c>
      <c r="J61" s="175">
        <v>1000</v>
      </c>
      <c r="K61" s="175">
        <v>1000</v>
      </c>
      <c r="L61" s="175">
        <v>1000</v>
      </c>
      <c r="M61" s="175">
        <v>1000</v>
      </c>
      <c r="N61" s="175">
        <v>1000</v>
      </c>
      <c r="O61" s="175">
        <v>1000</v>
      </c>
      <c r="P61" s="175">
        <v>1000</v>
      </c>
      <c r="Q61" s="175">
        <v>1000</v>
      </c>
      <c r="R61" s="175">
        <v>1000</v>
      </c>
      <c r="S61" s="175">
        <v>1000</v>
      </c>
      <c r="T61" s="175">
        <v>1000</v>
      </c>
      <c r="U61" s="190">
        <f>SUM(I61:T61)</f>
        <v>12000</v>
      </c>
      <c r="V61" s="221"/>
      <c r="W61" s="187"/>
      <c r="Y61" s="187"/>
    </row>
    <row r="62" spans="1:25">
      <c r="A62" s="187" t="s">
        <v>62</v>
      </c>
      <c r="B62" s="175">
        <v>67909.5747817403</v>
      </c>
      <c r="C62" s="175">
        <v>128660</v>
      </c>
      <c r="D62" s="175" t="e">
        <f>+'[2]Budget EPGC 2023'!E65</f>
        <v>#REF!</v>
      </c>
      <c r="E62" s="188">
        <v>108000</v>
      </c>
      <c r="F62" s="189" t="e">
        <f>(H62-D62)/H62</f>
        <v>#REF!</v>
      </c>
      <c r="G62" s="175">
        <f>H62-E62</f>
        <v>0</v>
      </c>
      <c r="H62" s="190">
        <v>108000</v>
      </c>
      <c r="I62" s="175">
        <v>9000</v>
      </c>
      <c r="J62" s="175">
        <v>9000</v>
      </c>
      <c r="K62" s="175">
        <v>9000</v>
      </c>
      <c r="L62" s="175">
        <v>9000</v>
      </c>
      <c r="M62" s="175">
        <v>9000</v>
      </c>
      <c r="N62" s="175">
        <v>9000</v>
      </c>
      <c r="O62" s="175">
        <v>9000</v>
      </c>
      <c r="P62" s="175">
        <v>9000</v>
      </c>
      <c r="Q62" s="175">
        <v>9000</v>
      </c>
      <c r="R62" s="175">
        <v>9000</v>
      </c>
      <c r="S62" s="175">
        <v>9000</v>
      </c>
      <c r="T62" s="175">
        <v>9000</v>
      </c>
      <c r="U62" s="190">
        <f>SUM(I62:T62)</f>
        <v>108000</v>
      </c>
      <c r="V62" s="221"/>
      <c r="W62" s="187"/>
      <c r="Y62" s="187"/>
    </row>
    <row r="63" spans="1:25">
      <c r="A63" s="187" t="s">
        <v>63</v>
      </c>
      <c r="B63" s="175">
        <v>52192.0931142956</v>
      </c>
      <c r="C63" s="175">
        <v>34597</v>
      </c>
      <c r="D63" s="175" t="e">
        <f>+'[2]Budget EPGC 2023'!E66</f>
        <v>#REF!</v>
      </c>
      <c r="E63" s="188">
        <v>48000</v>
      </c>
      <c r="F63" s="189" t="e">
        <f>(H63-D63)/H63</f>
        <v>#REF!</v>
      </c>
      <c r="G63" s="175">
        <f>H63-E63</f>
        <v>2000</v>
      </c>
      <c r="H63" s="190">
        <v>50000</v>
      </c>
      <c r="I63" s="175">
        <v>4167</v>
      </c>
      <c r="J63" s="175">
        <v>4167</v>
      </c>
      <c r="K63" s="175">
        <v>4167</v>
      </c>
      <c r="L63" s="175">
        <v>4167</v>
      </c>
      <c r="M63" s="175">
        <v>4167</v>
      </c>
      <c r="N63" s="175">
        <v>4167</v>
      </c>
      <c r="O63" s="175">
        <v>4167</v>
      </c>
      <c r="P63" s="175">
        <v>4167</v>
      </c>
      <c r="Q63" s="175">
        <v>4167</v>
      </c>
      <c r="R63" s="175">
        <v>4167</v>
      </c>
      <c r="S63" s="175">
        <v>4167</v>
      </c>
      <c r="T63" s="175">
        <v>4167</v>
      </c>
      <c r="U63" s="190">
        <f>SUM(I63:T63)</f>
        <v>50004</v>
      </c>
      <c r="V63" s="221"/>
      <c r="W63" s="187"/>
      <c r="Y63" s="187"/>
    </row>
    <row r="64" spans="1:25">
      <c r="A64" s="187"/>
      <c r="C64" s="175"/>
      <c r="E64" s="191"/>
      <c r="F64" s="207"/>
      <c r="G64" s="175"/>
      <c r="H64" s="190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90"/>
      <c r="V64" s="221"/>
      <c r="W64" s="187"/>
      <c r="Y64" s="187"/>
    </row>
    <row r="65" spans="1:25">
      <c r="A65" s="187" t="s">
        <v>64</v>
      </c>
      <c r="B65" s="175">
        <v>209123.583804339</v>
      </c>
      <c r="C65" s="175">
        <f>SUM(C59:C63)</f>
        <v>288056</v>
      </c>
      <c r="D65" s="175" t="e">
        <f>+'[2]Budget EPGC 2023'!E68</f>
        <v>#REF!</v>
      </c>
      <c r="E65" s="194">
        <f>SUM(E59:E64)</f>
        <v>267700</v>
      </c>
      <c r="F65" s="189" t="e">
        <f>(H65-D65)/H65</f>
        <v>#REF!</v>
      </c>
      <c r="G65" s="175">
        <f>H65-E65</f>
        <v>-2359</v>
      </c>
      <c r="H65" s="190">
        <f t="shared" ref="H65:U65" si="15">SUM(H59:H64)</f>
        <v>265341</v>
      </c>
      <c r="I65" s="190">
        <f t="shared" si="15"/>
        <v>23021</v>
      </c>
      <c r="J65" s="190">
        <f t="shared" si="15"/>
        <v>20920</v>
      </c>
      <c r="K65" s="190">
        <f t="shared" si="15"/>
        <v>20920</v>
      </c>
      <c r="L65" s="190">
        <f t="shared" si="15"/>
        <v>20920</v>
      </c>
      <c r="M65" s="190">
        <f t="shared" si="15"/>
        <v>25920</v>
      </c>
      <c r="N65" s="190">
        <f t="shared" si="15"/>
        <v>24320</v>
      </c>
      <c r="O65" s="190">
        <f t="shared" si="15"/>
        <v>23420</v>
      </c>
      <c r="P65" s="190">
        <f t="shared" si="15"/>
        <v>20920</v>
      </c>
      <c r="Q65" s="190">
        <f t="shared" si="15"/>
        <v>21920</v>
      </c>
      <c r="R65" s="190">
        <f t="shared" si="15"/>
        <v>21220</v>
      </c>
      <c r="S65" s="190">
        <f t="shared" si="15"/>
        <v>20920</v>
      </c>
      <c r="T65" s="190">
        <f t="shared" si="15"/>
        <v>20920</v>
      </c>
      <c r="U65" s="190">
        <f t="shared" si="15"/>
        <v>265341</v>
      </c>
      <c r="V65" s="221"/>
      <c r="W65" s="187"/>
      <c r="Y65" s="187"/>
    </row>
    <row r="66" spans="1:25">
      <c r="A66" s="187"/>
      <c r="C66" s="175"/>
      <c r="E66" s="191"/>
      <c r="F66" s="189"/>
      <c r="G66" s="175"/>
      <c r="H66" s="190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90"/>
      <c r="V66" s="221"/>
      <c r="W66" s="187"/>
      <c r="Y66" s="187"/>
    </row>
    <row r="67" ht="19.5" customHeight="1" spans="1:25">
      <c r="A67" s="222" t="s">
        <v>65</v>
      </c>
      <c r="B67" s="223"/>
      <c r="C67" s="223"/>
      <c r="D67" s="223"/>
      <c r="E67" s="211">
        <v>111000</v>
      </c>
      <c r="F67" s="246"/>
      <c r="G67" s="247"/>
      <c r="H67" s="224">
        <f>SUM(I67:T67)</f>
        <v>174750</v>
      </c>
      <c r="I67" s="223">
        <f>+[1]Depreciation!H20</f>
        <v>9166.66666666667</v>
      </c>
      <c r="J67" s="223">
        <f>+[1]Depreciation!I20</f>
        <v>10166.6666666667</v>
      </c>
      <c r="K67" s="223">
        <f>+[1]Depreciation!J20</f>
        <v>10166.6666666667</v>
      </c>
      <c r="L67" s="223">
        <f>+[1]Depreciation!K20</f>
        <v>16138.8888888889</v>
      </c>
      <c r="M67" s="223">
        <f>+[1]Depreciation!L20</f>
        <v>16138.8888888889</v>
      </c>
      <c r="N67" s="223">
        <f>+[1]Depreciation!M20</f>
        <v>16138.8888888889</v>
      </c>
      <c r="O67" s="223">
        <f>+[1]Depreciation!N20</f>
        <v>16138.8888888889</v>
      </c>
      <c r="P67" s="223">
        <f>+[1]Depreciation!O20</f>
        <v>16138.8888888889</v>
      </c>
      <c r="Q67" s="223">
        <f>+[1]Depreciation!P20</f>
        <v>16138.8888888889</v>
      </c>
      <c r="R67" s="223">
        <f>+[1]Depreciation!Q20</f>
        <v>16138.8888888889</v>
      </c>
      <c r="S67" s="223">
        <f>+[1]Depreciation!R20</f>
        <v>16138.8888888889</v>
      </c>
      <c r="T67" s="223">
        <f>+[1]Depreciation!S20</f>
        <v>16138.8888888889</v>
      </c>
      <c r="U67" s="224">
        <f>SUM(I67:T67)</f>
        <v>174750</v>
      </c>
      <c r="V67" s="221"/>
      <c r="W67" s="187"/>
      <c r="Y67" s="187"/>
    </row>
    <row r="68" spans="1:25">
      <c r="A68" s="222" t="s">
        <v>66</v>
      </c>
      <c r="B68" s="223"/>
      <c r="C68" s="223"/>
      <c r="D68" s="223"/>
      <c r="E68" s="211"/>
      <c r="F68" s="189"/>
      <c r="G68" s="223"/>
      <c r="H68" s="224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v>0</v>
      </c>
      <c r="O68" s="223">
        <v>0</v>
      </c>
      <c r="P68" s="223">
        <v>0</v>
      </c>
      <c r="Q68" s="223">
        <v>0</v>
      </c>
      <c r="R68" s="223">
        <v>0</v>
      </c>
      <c r="S68" s="223">
        <v>0</v>
      </c>
      <c r="T68" s="223">
        <v>0</v>
      </c>
      <c r="U68" s="224">
        <v>0</v>
      </c>
      <c r="V68" s="221"/>
      <c r="W68" s="187"/>
      <c r="Y68" s="187"/>
    </row>
    <row r="69" ht="16.5" customHeight="1" spans="1:25">
      <c r="A69" s="222" t="s">
        <v>67</v>
      </c>
      <c r="B69" s="223"/>
      <c r="C69" s="223"/>
      <c r="D69" s="223"/>
      <c r="E69" s="248">
        <v>70000</v>
      </c>
      <c r="F69" s="189"/>
      <c r="G69" s="247"/>
      <c r="H69" s="224">
        <v>0</v>
      </c>
      <c r="I69" s="223">
        <f t="shared" ref="I69:T69" si="16">+$H$69/12</f>
        <v>0</v>
      </c>
      <c r="J69" s="223">
        <f t="shared" si="16"/>
        <v>0</v>
      </c>
      <c r="K69" s="223">
        <f t="shared" si="16"/>
        <v>0</v>
      </c>
      <c r="L69" s="223">
        <f t="shared" si="16"/>
        <v>0</v>
      </c>
      <c r="M69" s="223">
        <f t="shared" si="16"/>
        <v>0</v>
      </c>
      <c r="N69" s="223">
        <f t="shared" si="16"/>
        <v>0</v>
      </c>
      <c r="O69" s="223">
        <f t="shared" si="16"/>
        <v>0</v>
      </c>
      <c r="P69" s="223">
        <f t="shared" si="16"/>
        <v>0</v>
      </c>
      <c r="Q69" s="223">
        <f t="shared" si="16"/>
        <v>0</v>
      </c>
      <c r="R69" s="223">
        <f t="shared" si="16"/>
        <v>0</v>
      </c>
      <c r="S69" s="223">
        <f t="shared" si="16"/>
        <v>0</v>
      </c>
      <c r="T69" s="223">
        <f t="shared" si="16"/>
        <v>0</v>
      </c>
      <c r="U69" s="224">
        <f>SUM(I69:T69)</f>
        <v>0</v>
      </c>
      <c r="V69" s="221"/>
      <c r="W69" s="187"/>
      <c r="Y69" s="187"/>
    </row>
    <row r="70" spans="1:25">
      <c r="A70" s="187" t="s">
        <v>68</v>
      </c>
      <c r="C70" s="175"/>
      <c r="E70" s="188">
        <v>20000</v>
      </c>
      <c r="F70" s="189"/>
      <c r="G70" s="175"/>
      <c r="H70" s="190">
        <v>20000</v>
      </c>
      <c r="I70" s="175">
        <f t="shared" ref="I70:T72" si="17">$H70/12</f>
        <v>1666.66666666667</v>
      </c>
      <c r="J70" s="175">
        <f t="shared" si="17"/>
        <v>1666.66666666667</v>
      </c>
      <c r="K70" s="175">
        <f t="shared" si="17"/>
        <v>1666.66666666667</v>
      </c>
      <c r="L70" s="175">
        <f t="shared" si="17"/>
        <v>1666.66666666667</v>
      </c>
      <c r="M70" s="175">
        <f t="shared" si="17"/>
        <v>1666.66666666667</v>
      </c>
      <c r="N70" s="175">
        <f t="shared" si="17"/>
        <v>1666.66666666667</v>
      </c>
      <c r="O70" s="175">
        <f t="shared" si="17"/>
        <v>1666.66666666667</v>
      </c>
      <c r="P70" s="175">
        <f t="shared" si="17"/>
        <v>1666.66666666667</v>
      </c>
      <c r="Q70" s="175">
        <f t="shared" si="17"/>
        <v>1666.66666666667</v>
      </c>
      <c r="R70" s="175">
        <f t="shared" si="17"/>
        <v>1666.66666666667</v>
      </c>
      <c r="S70" s="175">
        <f t="shared" si="17"/>
        <v>1666.66666666667</v>
      </c>
      <c r="T70" s="175">
        <f t="shared" si="17"/>
        <v>1666.66666666667</v>
      </c>
      <c r="U70" s="190">
        <f>SUM(I70:T70)</f>
        <v>20000</v>
      </c>
      <c r="V70" s="221"/>
      <c r="W70" s="187"/>
      <c r="Y70" s="187"/>
    </row>
    <row r="71" spans="1:25">
      <c r="A71" s="187" t="s">
        <v>69</v>
      </c>
      <c r="B71" s="175">
        <v>10000</v>
      </c>
      <c r="C71" s="175">
        <v>12712</v>
      </c>
      <c r="D71" s="175" t="e">
        <f>+'[2]Budget EPGC 2023'!E72</f>
        <v>#REF!</v>
      </c>
      <c r="E71" s="188">
        <v>20000</v>
      </c>
      <c r="F71" s="189" t="e">
        <f>(H71-D71)/H71</f>
        <v>#REF!</v>
      </c>
      <c r="G71" s="175">
        <f>H71-E71</f>
        <v>0</v>
      </c>
      <c r="H71" s="190">
        <v>20000</v>
      </c>
      <c r="I71" s="175">
        <f t="shared" si="17"/>
        <v>1666.66666666667</v>
      </c>
      <c r="J71" s="175">
        <f t="shared" si="17"/>
        <v>1666.66666666667</v>
      </c>
      <c r="K71" s="175">
        <f t="shared" si="17"/>
        <v>1666.66666666667</v>
      </c>
      <c r="L71" s="175">
        <f t="shared" si="17"/>
        <v>1666.66666666667</v>
      </c>
      <c r="M71" s="175">
        <f t="shared" si="17"/>
        <v>1666.66666666667</v>
      </c>
      <c r="N71" s="175">
        <f t="shared" si="17"/>
        <v>1666.66666666667</v>
      </c>
      <c r="O71" s="175">
        <f t="shared" si="17"/>
        <v>1666.66666666667</v>
      </c>
      <c r="P71" s="175">
        <f t="shared" si="17"/>
        <v>1666.66666666667</v>
      </c>
      <c r="Q71" s="175">
        <f t="shared" si="17"/>
        <v>1666.66666666667</v>
      </c>
      <c r="R71" s="175">
        <f t="shared" si="17"/>
        <v>1666.66666666667</v>
      </c>
      <c r="S71" s="175">
        <f t="shared" si="17"/>
        <v>1666.66666666667</v>
      </c>
      <c r="T71" s="175">
        <f t="shared" si="17"/>
        <v>1666.66666666667</v>
      </c>
      <c r="U71" s="190">
        <f>SUM(I71:T71)</f>
        <v>20000</v>
      </c>
      <c r="V71" s="221"/>
      <c r="W71" s="187"/>
      <c r="Y71" s="187"/>
    </row>
    <row r="72" spans="1:25">
      <c r="A72" s="187" t="s">
        <v>70</v>
      </c>
      <c r="B72" s="175">
        <v>2131.0752005786</v>
      </c>
      <c r="C72" s="175">
        <v>2114</v>
      </c>
      <c r="D72" s="175" t="e">
        <f>+'[2]Budget EPGC 2023'!E73</f>
        <v>#REF!</v>
      </c>
      <c r="E72" s="188">
        <v>8000</v>
      </c>
      <c r="F72" s="189" t="e">
        <f>(H72-D72)/H72</f>
        <v>#REF!</v>
      </c>
      <c r="G72" s="175">
        <f>H72-E72</f>
        <v>0</v>
      </c>
      <c r="H72" s="190">
        <v>8000</v>
      </c>
      <c r="I72" s="175">
        <f t="shared" si="17"/>
        <v>666.666666666667</v>
      </c>
      <c r="J72" s="175">
        <f t="shared" si="17"/>
        <v>666.666666666667</v>
      </c>
      <c r="K72" s="175">
        <f t="shared" si="17"/>
        <v>666.666666666667</v>
      </c>
      <c r="L72" s="175">
        <f t="shared" si="17"/>
        <v>666.666666666667</v>
      </c>
      <c r="M72" s="175">
        <f t="shared" si="17"/>
        <v>666.666666666667</v>
      </c>
      <c r="N72" s="175">
        <f t="shared" si="17"/>
        <v>666.666666666667</v>
      </c>
      <c r="O72" s="175">
        <f t="shared" si="17"/>
        <v>666.666666666667</v>
      </c>
      <c r="P72" s="175">
        <f t="shared" si="17"/>
        <v>666.666666666667</v>
      </c>
      <c r="Q72" s="175">
        <f t="shared" si="17"/>
        <v>666.666666666667</v>
      </c>
      <c r="R72" s="175">
        <f t="shared" si="17"/>
        <v>666.666666666667</v>
      </c>
      <c r="S72" s="175">
        <f t="shared" si="17"/>
        <v>666.666666666667</v>
      </c>
      <c r="T72" s="175">
        <f t="shared" si="17"/>
        <v>666.666666666667</v>
      </c>
      <c r="U72" s="190">
        <f>SUM(I72:T72)</f>
        <v>8000</v>
      </c>
      <c r="V72" s="221"/>
      <c r="W72" s="187"/>
      <c r="Y72" s="187"/>
    </row>
    <row r="73" spans="1:25">
      <c r="A73" s="187"/>
      <c r="C73" s="175"/>
      <c r="E73" s="191"/>
      <c r="F73" s="249"/>
      <c r="G73" s="175"/>
      <c r="H73" s="190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90"/>
      <c r="V73" s="221"/>
      <c r="W73" s="187"/>
      <c r="Y73" s="187"/>
    </row>
    <row r="74" spans="1:25">
      <c r="A74" s="250" t="s">
        <v>71</v>
      </c>
      <c r="B74" s="251">
        <v>221828.934920579</v>
      </c>
      <c r="C74" s="251">
        <f>SUM(C71:C72)</f>
        <v>14826</v>
      </c>
      <c r="D74" s="251" t="e">
        <f>+'[2]Budget EPGC 2023'!E75</f>
        <v>#REF!</v>
      </c>
      <c r="E74" s="252">
        <v>245000</v>
      </c>
      <c r="F74" s="253" t="e">
        <f>(H74-D74)/H74</f>
        <v>#REF!</v>
      </c>
      <c r="G74" s="251" t="e">
        <f>H74-D74</f>
        <v>#REF!</v>
      </c>
      <c r="H74" s="254">
        <v>245000</v>
      </c>
      <c r="I74" s="251">
        <v>20250</v>
      </c>
      <c r="J74" s="251">
        <v>20250</v>
      </c>
      <c r="K74" s="251">
        <v>20250</v>
      </c>
      <c r="L74" s="251">
        <v>20250</v>
      </c>
      <c r="M74" s="251">
        <v>20250</v>
      </c>
      <c r="N74" s="251">
        <v>20250</v>
      </c>
      <c r="O74" s="251">
        <v>20250</v>
      </c>
      <c r="P74" s="251">
        <v>20250</v>
      </c>
      <c r="Q74" s="251">
        <v>20250</v>
      </c>
      <c r="R74" s="251">
        <v>20250</v>
      </c>
      <c r="S74" s="251">
        <v>20250</v>
      </c>
      <c r="T74" s="251">
        <v>20250</v>
      </c>
      <c r="U74" s="254">
        <f>SUM(I74:T74)</f>
        <v>243000</v>
      </c>
      <c r="V74" s="221"/>
      <c r="W74" s="187"/>
      <c r="Y74" s="187"/>
    </row>
    <row r="75" spans="1:25">
      <c r="A75" s="250"/>
      <c r="B75" s="251"/>
      <c r="C75" s="251"/>
      <c r="D75" s="251"/>
      <c r="E75" s="252"/>
      <c r="F75" s="255"/>
      <c r="G75" s="251"/>
      <c r="H75" s="254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4"/>
      <c r="V75" s="221"/>
      <c r="W75" s="187"/>
      <c r="Y75" s="187"/>
    </row>
    <row r="76" spans="1:25">
      <c r="A76" s="250" t="s">
        <v>72</v>
      </c>
      <c r="B76" s="251">
        <v>1933309.51872492</v>
      </c>
      <c r="C76" s="251">
        <f>+C74+C65+C57+C51+C44</f>
        <v>2047352</v>
      </c>
      <c r="D76" s="251" t="e">
        <f>+'[2]Budget EPGC 2023'!E77</f>
        <v>#REF!</v>
      </c>
      <c r="E76" s="252">
        <f>+E74+E65+E57+E51+E44</f>
        <v>2476196</v>
      </c>
      <c r="F76" s="253" t="e">
        <f>(H76-D76)/H76</f>
        <v>#REF!</v>
      </c>
      <c r="G76" s="251" t="e">
        <f>H76-D76</f>
        <v>#REF!</v>
      </c>
      <c r="H76" s="254">
        <f>+H74+H65+H57+H51+H44</f>
        <v>2484769</v>
      </c>
      <c r="I76" s="251">
        <f t="shared" ref="I76:U76" si="18">I74+I65+I57+I51+I44</f>
        <v>210763.000333333</v>
      </c>
      <c r="J76" s="251">
        <f t="shared" si="18"/>
        <v>200257.000333333</v>
      </c>
      <c r="K76" s="251">
        <f t="shared" si="18"/>
        <v>196999.000333333</v>
      </c>
      <c r="L76" s="251">
        <f t="shared" si="18"/>
        <v>185447.000333333</v>
      </c>
      <c r="M76" s="251">
        <f t="shared" si="18"/>
        <v>221928.000333333</v>
      </c>
      <c r="N76" s="251">
        <f t="shared" si="18"/>
        <v>275559.000333333</v>
      </c>
      <c r="O76" s="251">
        <f t="shared" si="18"/>
        <v>192698.000333333</v>
      </c>
      <c r="P76" s="251">
        <f t="shared" si="18"/>
        <v>196366.000333333</v>
      </c>
      <c r="Q76" s="251">
        <f t="shared" si="18"/>
        <v>217844.000333333</v>
      </c>
      <c r="R76" s="251">
        <f t="shared" si="18"/>
        <v>187656.000333333</v>
      </c>
      <c r="S76" s="251">
        <f t="shared" si="18"/>
        <v>203995.000333333</v>
      </c>
      <c r="T76" s="251">
        <f t="shared" si="18"/>
        <v>195256.996333333</v>
      </c>
      <c r="U76" s="254">
        <f t="shared" si="18"/>
        <v>2484769</v>
      </c>
      <c r="V76" s="221"/>
      <c r="W76" s="187"/>
      <c r="Y76" s="187"/>
    </row>
    <row r="77" spans="1:25">
      <c r="A77" s="250"/>
      <c r="B77" s="251"/>
      <c r="C77" s="251"/>
      <c r="D77" s="251"/>
      <c r="E77" s="252"/>
      <c r="F77" s="255"/>
      <c r="G77" s="251"/>
      <c r="H77" s="254"/>
      <c r="I77" s="251"/>
      <c r="J77" s="251" t="s">
        <v>73</v>
      </c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4"/>
      <c r="V77" s="221"/>
      <c r="W77" s="187"/>
      <c r="Y77" s="187"/>
    </row>
    <row r="78" spans="1:25">
      <c r="A78" s="250" t="s">
        <v>74</v>
      </c>
      <c r="B78" s="251">
        <v>246678.275159379</v>
      </c>
      <c r="C78" s="251">
        <f>+C31-C76</f>
        <v>497008</v>
      </c>
      <c r="D78" s="251" t="e">
        <f>+'[2]Budget EPGC 2023'!E79</f>
        <v>#REF!</v>
      </c>
      <c r="E78" s="252">
        <f>+E31-E76</f>
        <v>344464</v>
      </c>
      <c r="F78" s="253" t="e">
        <f>(H78-D78)/H78</f>
        <v>#REF!</v>
      </c>
      <c r="G78" s="251" t="e">
        <f>H78-D78</f>
        <v>#REF!</v>
      </c>
      <c r="H78" s="254">
        <f>+H31-H76</f>
        <v>570554.181039435</v>
      </c>
      <c r="I78" s="254">
        <f t="shared" ref="I78:U78" si="19">I31-I76</f>
        <v>40839.344154015</v>
      </c>
      <c r="J78" s="254">
        <f t="shared" si="19"/>
        <v>66026.0720869953</v>
      </c>
      <c r="K78" s="254">
        <f t="shared" si="19"/>
        <v>81496.2257045604</v>
      </c>
      <c r="L78" s="254">
        <f t="shared" si="19"/>
        <v>113691.234566296</v>
      </c>
      <c r="M78" s="254">
        <f t="shared" si="19"/>
        <v>61777.3608672852</v>
      </c>
      <c r="N78" s="254">
        <f t="shared" si="19"/>
        <v>-75031.7736278067</v>
      </c>
      <c r="O78" s="254">
        <f t="shared" si="19"/>
        <v>18209.6727134751</v>
      </c>
      <c r="P78" s="254">
        <f t="shared" si="19"/>
        <v>1425.26525047747</v>
      </c>
      <c r="Q78" s="254">
        <f t="shared" si="19"/>
        <v>28936.7195316812</v>
      </c>
      <c r="R78" s="254">
        <f t="shared" si="19"/>
        <v>152865.451875101</v>
      </c>
      <c r="S78" s="254">
        <f t="shared" si="19"/>
        <v>62871.9569586777</v>
      </c>
      <c r="T78" s="254">
        <f t="shared" si="19"/>
        <v>17446.6509586777</v>
      </c>
      <c r="U78" s="254">
        <f t="shared" si="19"/>
        <v>570554.181039435</v>
      </c>
      <c r="V78" s="221"/>
      <c r="W78" s="187"/>
      <c r="Y78" s="187"/>
    </row>
    <row r="79" spans="1:25">
      <c r="A79" s="250"/>
      <c r="B79" s="251"/>
      <c r="C79" s="251"/>
      <c r="D79" s="251"/>
      <c r="E79" s="252"/>
      <c r="F79" s="255"/>
      <c r="G79" s="251"/>
      <c r="H79" s="254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4"/>
      <c r="V79" s="221"/>
      <c r="W79" s="187"/>
      <c r="Y79" s="187"/>
    </row>
    <row r="80" spans="1:25">
      <c r="A80" s="250" t="s">
        <v>75</v>
      </c>
      <c r="B80" s="251">
        <v>309232</v>
      </c>
      <c r="C80" s="251">
        <v>270164</v>
      </c>
      <c r="D80" s="251" t="e">
        <f>+'[2]Budget EPGC 2023'!E81</f>
        <v>#REF!</v>
      </c>
      <c r="E80" s="252">
        <v>7000</v>
      </c>
      <c r="F80" s="253">
        <f>(H80-B80)/B80</f>
        <v>-1</v>
      </c>
      <c r="G80" s="251" t="e">
        <f>H80-D80</f>
        <v>#REF!</v>
      </c>
      <c r="H80" s="254"/>
      <c r="I80" s="251"/>
      <c r="J80" s="251"/>
      <c r="K80" s="256"/>
      <c r="L80" s="257"/>
      <c r="M80" s="258"/>
      <c r="N80" s="251"/>
      <c r="O80" s="251"/>
      <c r="P80" s="251"/>
      <c r="Q80" s="251"/>
      <c r="R80" s="251"/>
      <c r="S80" s="251"/>
      <c r="T80" s="251"/>
      <c r="U80" s="254">
        <f>SUM(I80:T80)</f>
        <v>0</v>
      </c>
      <c r="V80" s="221"/>
      <c r="W80" s="187"/>
      <c r="Y80" s="187"/>
    </row>
    <row r="81" spans="1:25">
      <c r="A81" s="250"/>
      <c r="B81" s="251"/>
      <c r="C81" s="251"/>
      <c r="D81" s="251"/>
      <c r="E81" s="252"/>
      <c r="F81" s="253"/>
      <c r="G81" s="251"/>
      <c r="H81" s="254"/>
      <c r="I81" s="251"/>
      <c r="J81" s="251"/>
      <c r="K81" s="256"/>
      <c r="L81" s="257"/>
      <c r="M81" s="258"/>
      <c r="N81" s="251"/>
      <c r="O81" s="251"/>
      <c r="P81" s="251"/>
      <c r="Q81" s="251"/>
      <c r="R81" s="251"/>
      <c r="S81" s="251"/>
      <c r="T81" s="251"/>
      <c r="U81" s="254"/>
      <c r="V81" s="221"/>
      <c r="W81" s="187"/>
      <c r="Y81" s="187"/>
    </row>
    <row r="82" spans="1:25">
      <c r="A82" s="250" t="s">
        <v>76</v>
      </c>
      <c r="B82" s="251">
        <v>-62553.7248406205</v>
      </c>
      <c r="C82" s="251">
        <f>+C78-C80</f>
        <v>226844</v>
      </c>
      <c r="D82" s="251" t="e">
        <f>+'[2]Budget EPGC 2023'!E84</f>
        <v>#REF!</v>
      </c>
      <c r="E82" s="252">
        <f>+E78-E80</f>
        <v>337464</v>
      </c>
      <c r="F82" s="253" t="e">
        <f>(H82-D82)/H82</f>
        <v>#REF!</v>
      </c>
      <c r="G82" s="251" t="e">
        <f>H82-D82</f>
        <v>#REF!</v>
      </c>
      <c r="H82" s="254">
        <f t="shared" ref="H82:T82" si="20">H78-H80</f>
        <v>570554.181039435</v>
      </c>
      <c r="I82" s="254">
        <f t="shared" si="20"/>
        <v>40839.344154015</v>
      </c>
      <c r="J82" s="254">
        <f t="shared" si="20"/>
        <v>66026.0720869953</v>
      </c>
      <c r="K82" s="254">
        <f t="shared" si="20"/>
        <v>81496.2257045604</v>
      </c>
      <c r="L82" s="254">
        <f t="shared" si="20"/>
        <v>113691.234566296</v>
      </c>
      <c r="M82" s="254">
        <f t="shared" si="20"/>
        <v>61777.3608672852</v>
      </c>
      <c r="N82" s="254">
        <f t="shared" si="20"/>
        <v>-75031.7736278067</v>
      </c>
      <c r="O82" s="254">
        <f t="shared" si="20"/>
        <v>18209.6727134751</v>
      </c>
      <c r="P82" s="254">
        <f t="shared" si="20"/>
        <v>1425.26525047747</v>
      </c>
      <c r="Q82" s="254">
        <f t="shared" si="20"/>
        <v>28936.7195316812</v>
      </c>
      <c r="R82" s="254">
        <f t="shared" si="20"/>
        <v>152865.451875101</v>
      </c>
      <c r="S82" s="254">
        <f t="shared" si="20"/>
        <v>62871.9569586777</v>
      </c>
      <c r="T82" s="254">
        <f t="shared" si="20"/>
        <v>17446.6509586777</v>
      </c>
      <c r="U82" s="254">
        <f>SUM(I82:T82)</f>
        <v>570554.181039435</v>
      </c>
      <c r="V82" s="221"/>
      <c r="W82" s="187"/>
      <c r="Y82" s="187"/>
    </row>
    <row r="83" spans="1:25">
      <c r="A83" s="250"/>
      <c r="B83" s="251"/>
      <c r="C83" s="251"/>
      <c r="D83" s="251"/>
      <c r="E83" s="252"/>
      <c r="F83" s="255"/>
      <c r="G83" s="251"/>
      <c r="H83" s="254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4"/>
      <c r="V83" s="221"/>
      <c r="W83" s="187"/>
      <c r="Y83" s="187"/>
    </row>
    <row r="84" spans="1:1">
      <c r="A84" s="172" t="s">
        <v>77</v>
      </c>
    </row>
    <row r="85" spans="2:2">
      <c r="B85" s="174"/>
    </row>
  </sheetData>
  <pageMargins left="0.25" right="0.25" top="0.75" bottom="0.75" header="0.3" footer="0.3"/>
  <pageSetup paperSize="8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28" sqref="C28"/>
    </sheetView>
  </sheetViews>
  <sheetFormatPr defaultColWidth="11" defaultRowHeight="14.4" outlineLevelCol="7"/>
  <cols>
    <col min="1" max="1" width="20.1388888888889" customWidth="1"/>
    <col min="2" max="5" width="12.712962962963" customWidth="1"/>
    <col min="7" max="7" width="12.287037037037" style="132" customWidth="1"/>
    <col min="8" max="8" width="11.4259259259259" style="132"/>
  </cols>
  <sheetData>
    <row r="1" ht="15.15"/>
    <row r="2" spans="1:5">
      <c r="A2" s="147"/>
      <c r="B2" s="148"/>
      <c r="C2" s="148" t="s">
        <v>78</v>
      </c>
      <c r="D2" s="148" t="s">
        <v>78</v>
      </c>
      <c r="E2" s="149" t="s">
        <v>79</v>
      </c>
    </row>
    <row r="3" ht="15.15" spans="1:5">
      <c r="A3" s="150"/>
      <c r="B3" s="151" t="s">
        <v>80</v>
      </c>
      <c r="C3" s="151" t="s">
        <v>81</v>
      </c>
      <c r="D3" s="151" t="s">
        <v>82</v>
      </c>
      <c r="E3" s="152" t="s">
        <v>83</v>
      </c>
    </row>
    <row r="4" ht="15.15" spans="1:5">
      <c r="A4" s="153"/>
      <c r="B4" s="154"/>
      <c r="C4" s="155"/>
      <c r="D4" s="155"/>
      <c r="E4" s="156"/>
    </row>
    <row r="5" ht="15.15" spans="1:8">
      <c r="A5" s="157" t="s">
        <v>84</v>
      </c>
      <c r="B5" s="154">
        <v>335</v>
      </c>
      <c r="C5" s="155">
        <v>1868.6</v>
      </c>
      <c r="D5" s="158">
        <f>C5*1.21</f>
        <v>2261.006</v>
      </c>
      <c r="E5" s="156">
        <f>+B5*C5</f>
        <v>625981</v>
      </c>
      <c r="G5" s="132" t="s">
        <v>85</v>
      </c>
      <c r="H5" s="132" t="s">
        <v>86</v>
      </c>
    </row>
    <row r="6" ht="15.15" spans="1:8">
      <c r="A6" s="157" t="s">
        <v>87</v>
      </c>
      <c r="B6" s="153">
        <v>200</v>
      </c>
      <c r="C6" s="159">
        <v>933.884297520661</v>
      </c>
      <c r="D6" s="125">
        <f t="shared" ref="D6:D13" si="0">C6*1.21</f>
        <v>1130</v>
      </c>
      <c r="E6" s="160">
        <f t="shared" ref="E6:E13" si="1">+B6*C6</f>
        <v>186776.859504132</v>
      </c>
      <c r="G6" s="161">
        <f>SUM(E5:E11)</f>
        <v>823755.919504132</v>
      </c>
      <c r="H6" s="162">
        <f>G6/12</f>
        <v>68646.3266253444</v>
      </c>
    </row>
    <row r="7" spans="1:5">
      <c r="A7" s="157" t="s">
        <v>88</v>
      </c>
      <c r="B7" s="153">
        <v>5</v>
      </c>
      <c r="C7">
        <v>0</v>
      </c>
      <c r="D7" s="125">
        <f t="shared" si="0"/>
        <v>0</v>
      </c>
      <c r="E7" s="160">
        <f t="shared" si="1"/>
        <v>0</v>
      </c>
    </row>
    <row r="8" spans="1:5">
      <c r="A8" s="157" t="s">
        <v>89</v>
      </c>
      <c r="B8" s="153">
        <v>9</v>
      </c>
      <c r="C8">
        <v>347.11</v>
      </c>
      <c r="D8" s="125">
        <f t="shared" si="0"/>
        <v>420.0031</v>
      </c>
      <c r="E8" s="160">
        <f t="shared" si="1"/>
        <v>3123.99</v>
      </c>
    </row>
    <row r="9" spans="1:5">
      <c r="A9" s="157" t="s">
        <v>90</v>
      </c>
      <c r="B9" s="153">
        <v>1</v>
      </c>
      <c r="C9">
        <v>1180.17</v>
      </c>
      <c r="D9" s="125">
        <f t="shared" si="0"/>
        <v>1428.0057</v>
      </c>
      <c r="E9" s="160">
        <f t="shared" si="1"/>
        <v>1180.17</v>
      </c>
    </row>
    <row r="10" spans="1:5">
      <c r="A10" s="157" t="s">
        <v>91</v>
      </c>
      <c r="B10" s="153">
        <v>40</v>
      </c>
      <c r="C10">
        <v>123.96</v>
      </c>
      <c r="D10" s="125">
        <f t="shared" si="0"/>
        <v>149.9916</v>
      </c>
      <c r="E10" s="160">
        <f t="shared" si="1"/>
        <v>4958.4</v>
      </c>
    </row>
    <row r="11" ht="15.15" spans="1:7">
      <c r="A11" s="157" t="s">
        <v>92</v>
      </c>
      <c r="B11" s="163">
        <v>10</v>
      </c>
      <c r="C11" s="164">
        <v>173.55</v>
      </c>
      <c r="D11" s="165">
        <f t="shared" si="0"/>
        <v>209.9955</v>
      </c>
      <c r="E11" s="166">
        <f t="shared" si="1"/>
        <v>1735.5</v>
      </c>
      <c r="G11" s="132" t="s">
        <v>93</v>
      </c>
    </row>
    <row r="12" ht="15.15" spans="1:7">
      <c r="A12" s="157" t="s">
        <v>94</v>
      </c>
      <c r="B12" s="153">
        <v>12</v>
      </c>
      <c r="C12">
        <v>2892.56</v>
      </c>
      <c r="D12" s="125">
        <f t="shared" si="0"/>
        <v>3499.9976</v>
      </c>
      <c r="E12" s="167">
        <f t="shared" si="1"/>
        <v>34710.72</v>
      </c>
      <c r="G12" s="161">
        <f>E12+E13</f>
        <v>45454.52</v>
      </c>
    </row>
    <row r="13" ht="15.15" spans="1:5">
      <c r="A13" s="157" t="s">
        <v>95</v>
      </c>
      <c r="B13" s="153">
        <v>10</v>
      </c>
      <c r="C13">
        <v>1074.38</v>
      </c>
      <c r="D13" s="125">
        <f t="shared" si="0"/>
        <v>1299.9998</v>
      </c>
      <c r="E13" s="168">
        <f t="shared" si="1"/>
        <v>10743.8</v>
      </c>
    </row>
    <row r="14" spans="1:5">
      <c r="A14" s="157"/>
      <c r="B14" s="153">
        <f>SUM(B5:B13)</f>
        <v>622</v>
      </c>
      <c r="E14" s="160"/>
    </row>
    <row r="15" spans="1:5">
      <c r="A15" s="157"/>
      <c r="B15" s="153"/>
      <c r="D15" t="s">
        <v>96</v>
      </c>
      <c r="E15" s="160">
        <f>SUM(E5:E13)</f>
        <v>869210.439504132</v>
      </c>
    </row>
    <row r="16" ht="15.15" spans="1:5">
      <c r="A16" s="157"/>
      <c r="B16" s="153"/>
      <c r="E16" s="160"/>
    </row>
    <row r="17" ht="15.15" spans="1:5">
      <c r="A17" s="169" t="s">
        <v>97</v>
      </c>
      <c r="B17" s="153">
        <v>22</v>
      </c>
      <c r="C17">
        <v>7024.79</v>
      </c>
      <c r="D17" s="125">
        <f>C17*1.21</f>
        <v>8499.9959</v>
      </c>
      <c r="E17" s="170">
        <f>+B17*C17</f>
        <v>154545.38</v>
      </c>
    </row>
    <row r="18" spans="2:5">
      <c r="B18" s="153"/>
      <c r="E18" s="160"/>
    </row>
    <row r="19" ht="15.15" spans="2:5">
      <c r="B19" s="163"/>
      <c r="C19" s="164"/>
      <c r="D19" s="164"/>
      <c r="E19" s="166">
        <f>SUM(E15:E17)</f>
        <v>1023755.81950413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115" zoomScaleNormal="115" workbookViewId="0">
      <selection activeCell="B24" sqref="B24"/>
    </sheetView>
  </sheetViews>
  <sheetFormatPr defaultColWidth="11" defaultRowHeight="14.4"/>
  <cols>
    <col min="1" max="1" width="51.1388888888889" customWidth="1"/>
    <col min="3" max="14" width="10.4259259259259" customWidth="1"/>
    <col min="16" max="16" width="11" hidden="1" customWidth="1"/>
  </cols>
  <sheetData>
    <row r="1" spans="2:2">
      <c r="B1" s="125"/>
    </row>
    <row r="2" spans="1:1">
      <c r="A2" s="126" t="s">
        <v>98</v>
      </c>
    </row>
    <row r="3" spans="1:3">
      <c r="A3" s="127"/>
      <c r="B3" s="128"/>
      <c r="C3" s="128"/>
    </row>
    <row r="4" spans="1:3">
      <c r="A4" s="129"/>
      <c r="B4" s="130">
        <v>2026</v>
      </c>
      <c r="C4" s="131"/>
    </row>
    <row r="5" spans="2:16">
      <c r="B5" s="132" t="s">
        <v>19</v>
      </c>
      <c r="C5" s="132" t="s">
        <v>7</v>
      </c>
      <c r="D5" s="132" t="s">
        <v>8</v>
      </c>
      <c r="E5" s="132" t="s">
        <v>9</v>
      </c>
      <c r="F5" s="132" t="s">
        <v>99</v>
      </c>
      <c r="G5" s="132" t="s">
        <v>11</v>
      </c>
      <c r="H5" s="132" t="s">
        <v>12</v>
      </c>
      <c r="I5" s="132" t="s">
        <v>13</v>
      </c>
      <c r="J5" s="132" t="s">
        <v>14</v>
      </c>
      <c r="K5" s="132" t="s">
        <v>15</v>
      </c>
      <c r="L5" s="132" t="s">
        <v>16</v>
      </c>
      <c r="M5" s="132" t="s">
        <v>17</v>
      </c>
      <c r="N5" s="132" t="s">
        <v>18</v>
      </c>
      <c r="P5" s="142">
        <v>2024</v>
      </c>
    </row>
    <row r="6" ht="18" spans="1:16">
      <c r="A6" s="133" t="s">
        <v>100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P6" s="131"/>
    </row>
    <row r="7" spans="1:16">
      <c r="A7" s="129" t="s">
        <v>101</v>
      </c>
      <c r="B7" s="132">
        <f t="shared" ref="B7:B15" si="0">SUM(C7:N7)</f>
        <v>8640</v>
      </c>
      <c r="C7" s="135">
        <v>720</v>
      </c>
      <c r="D7" s="135">
        <v>720</v>
      </c>
      <c r="E7" s="135">
        <v>720</v>
      </c>
      <c r="F7" s="135">
        <v>720</v>
      </c>
      <c r="G7" s="135">
        <v>720</v>
      </c>
      <c r="H7" s="135">
        <v>720</v>
      </c>
      <c r="I7" s="135">
        <v>720</v>
      </c>
      <c r="J7" s="135">
        <v>720</v>
      </c>
      <c r="K7" s="135">
        <v>720</v>
      </c>
      <c r="L7" s="135">
        <v>720</v>
      </c>
      <c r="M7" s="135">
        <v>720</v>
      </c>
      <c r="N7" s="135">
        <v>720</v>
      </c>
      <c r="P7" s="134">
        <f t="shared" ref="P7:P11" si="1">SUM(C7:N7)</f>
        <v>8640</v>
      </c>
    </row>
    <row r="8" spans="1:16">
      <c r="A8" s="129" t="s">
        <v>102</v>
      </c>
      <c r="B8" s="132">
        <f t="shared" si="0"/>
        <v>1000</v>
      </c>
      <c r="C8" s="135"/>
      <c r="D8" s="135"/>
      <c r="E8" s="135"/>
      <c r="F8" s="135"/>
      <c r="G8" s="135"/>
      <c r="H8" s="135"/>
      <c r="I8" s="135"/>
      <c r="J8" s="135"/>
      <c r="K8" s="135">
        <v>1000</v>
      </c>
      <c r="L8" s="135"/>
      <c r="M8" s="135"/>
      <c r="N8" s="135"/>
      <c r="P8" s="134">
        <f t="shared" si="1"/>
        <v>1000</v>
      </c>
    </row>
    <row r="9" spans="1:16">
      <c r="A9" s="129" t="s">
        <v>103</v>
      </c>
      <c r="B9" s="132">
        <f t="shared" si="0"/>
        <v>300.5</v>
      </c>
      <c r="C9" s="135">
        <v>300.5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P9" s="134">
        <f t="shared" si="1"/>
        <v>300.5</v>
      </c>
    </row>
    <row r="10" spans="1:16">
      <c r="A10" s="129" t="s">
        <v>104</v>
      </c>
      <c r="B10" s="132">
        <f t="shared" si="0"/>
        <v>900</v>
      </c>
      <c r="C10" s="135"/>
      <c r="D10" s="135"/>
      <c r="E10" s="135"/>
      <c r="F10" s="135"/>
      <c r="G10" s="135"/>
      <c r="H10" s="135">
        <v>900</v>
      </c>
      <c r="I10" s="135"/>
      <c r="J10" s="135"/>
      <c r="K10" s="135"/>
      <c r="L10" s="135"/>
      <c r="M10" s="135"/>
      <c r="N10" s="135"/>
      <c r="P10" s="134">
        <f t="shared" si="1"/>
        <v>900</v>
      </c>
    </row>
    <row r="11" spans="1:16">
      <c r="A11" s="129" t="s">
        <v>105</v>
      </c>
      <c r="B11" s="132">
        <f t="shared" si="0"/>
        <v>9000</v>
      </c>
      <c r="C11" s="135">
        <v>750</v>
      </c>
      <c r="D11" s="135">
        <v>750</v>
      </c>
      <c r="E11" s="135">
        <v>750</v>
      </c>
      <c r="F11" s="135">
        <v>750</v>
      </c>
      <c r="G11" s="135">
        <v>750</v>
      </c>
      <c r="H11" s="135">
        <v>750</v>
      </c>
      <c r="I11" s="135">
        <v>750</v>
      </c>
      <c r="J11" s="135">
        <v>750</v>
      </c>
      <c r="K11" s="135">
        <v>750</v>
      </c>
      <c r="L11" s="135">
        <v>750</v>
      </c>
      <c r="M11" s="135">
        <v>750</v>
      </c>
      <c r="N11" s="135">
        <v>750</v>
      </c>
      <c r="P11" s="134">
        <f t="shared" si="1"/>
        <v>9000</v>
      </c>
    </row>
    <row r="12" spans="1:16">
      <c r="A12" s="129" t="s">
        <v>106</v>
      </c>
      <c r="B12" s="132">
        <f t="shared" si="0"/>
        <v>8400</v>
      </c>
      <c r="C12" s="135">
        <v>700</v>
      </c>
      <c r="D12" s="135">
        <v>700</v>
      </c>
      <c r="E12" s="135">
        <v>700</v>
      </c>
      <c r="F12" s="135">
        <v>700</v>
      </c>
      <c r="G12" s="135">
        <v>700</v>
      </c>
      <c r="H12" s="135">
        <v>700</v>
      </c>
      <c r="I12" s="135">
        <v>700</v>
      </c>
      <c r="J12" s="135">
        <v>700</v>
      </c>
      <c r="K12" s="135">
        <v>700</v>
      </c>
      <c r="L12" s="135">
        <v>700</v>
      </c>
      <c r="M12" s="135">
        <v>700</v>
      </c>
      <c r="N12" s="135">
        <v>700</v>
      </c>
      <c r="P12" s="134">
        <f t="shared" ref="P12:P20" si="2">SUM(C12:N12)</f>
        <v>8400</v>
      </c>
    </row>
    <row r="13" spans="1:16">
      <c r="A13" s="129" t="s">
        <v>107</v>
      </c>
      <c r="B13" s="132">
        <f t="shared" si="0"/>
        <v>3000</v>
      </c>
      <c r="C13" s="135">
        <v>250</v>
      </c>
      <c r="D13" s="135">
        <v>250</v>
      </c>
      <c r="E13" s="135">
        <v>250</v>
      </c>
      <c r="F13" s="135">
        <v>250</v>
      </c>
      <c r="G13" s="135">
        <v>250</v>
      </c>
      <c r="H13" s="135">
        <v>250</v>
      </c>
      <c r="I13" s="135">
        <v>250</v>
      </c>
      <c r="J13" s="135">
        <v>250</v>
      </c>
      <c r="K13" s="135">
        <v>250</v>
      </c>
      <c r="L13" s="135">
        <v>250</v>
      </c>
      <c r="M13" s="135">
        <v>250</v>
      </c>
      <c r="N13" s="135">
        <v>250</v>
      </c>
      <c r="P13" s="134">
        <f t="shared" si="2"/>
        <v>3000</v>
      </c>
    </row>
    <row r="14" spans="1:16">
      <c r="A14" s="136" t="s">
        <v>108</v>
      </c>
      <c r="B14" s="132">
        <f t="shared" si="0"/>
        <v>0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P14" s="134">
        <f t="shared" si="2"/>
        <v>0</v>
      </c>
    </row>
    <row r="15" spans="1:16">
      <c r="A15" s="137" t="s">
        <v>109</v>
      </c>
      <c r="B15" s="132">
        <f t="shared" si="0"/>
        <v>1800</v>
      </c>
      <c r="C15" s="135">
        <v>1800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P15" s="134">
        <f t="shared" si="2"/>
        <v>1800</v>
      </c>
    </row>
    <row r="16" spans="1:16">
      <c r="A16" s="137" t="s">
        <v>110</v>
      </c>
      <c r="B16" s="132">
        <f t="shared" ref="B16:B20" si="3">SUM(C16:N16)</f>
        <v>2500</v>
      </c>
      <c r="C16" s="135"/>
      <c r="D16" s="135"/>
      <c r="E16" s="135"/>
      <c r="F16" s="135"/>
      <c r="G16" s="135"/>
      <c r="H16" s="135">
        <v>2500</v>
      </c>
      <c r="I16" s="135"/>
      <c r="J16" s="135"/>
      <c r="K16" s="135"/>
      <c r="L16" s="135"/>
      <c r="M16" s="135"/>
      <c r="N16" s="135"/>
      <c r="P16" s="134">
        <f t="shared" si="2"/>
        <v>2500</v>
      </c>
    </row>
    <row r="17" spans="1:16">
      <c r="A17" s="137" t="s">
        <v>111</v>
      </c>
      <c r="B17" s="132">
        <f t="shared" si="3"/>
        <v>2500</v>
      </c>
      <c r="C17" s="135"/>
      <c r="D17" s="135"/>
      <c r="E17" s="135"/>
      <c r="F17" s="135"/>
      <c r="G17" s="135"/>
      <c r="H17" s="135"/>
      <c r="I17" s="135">
        <v>2500</v>
      </c>
      <c r="J17" s="135"/>
      <c r="K17" s="135"/>
      <c r="L17" s="135"/>
      <c r="M17" s="135"/>
      <c r="N17" s="135"/>
      <c r="P17" s="134">
        <f t="shared" si="2"/>
        <v>2500</v>
      </c>
    </row>
    <row r="18" spans="1:16">
      <c r="A18" s="137" t="s">
        <v>112</v>
      </c>
      <c r="B18" s="132">
        <f t="shared" si="3"/>
        <v>2500</v>
      </c>
      <c r="C18" s="135"/>
      <c r="D18" s="135"/>
      <c r="E18" s="135"/>
      <c r="F18" s="135"/>
      <c r="G18" s="135">
        <v>2500</v>
      </c>
      <c r="H18" s="135"/>
      <c r="I18" s="135"/>
      <c r="J18" s="135"/>
      <c r="K18" s="135"/>
      <c r="L18" s="135"/>
      <c r="M18" s="135"/>
      <c r="N18" s="135"/>
      <c r="P18" s="134">
        <f t="shared" si="2"/>
        <v>2500</v>
      </c>
    </row>
    <row r="19" spans="1:16">
      <c r="A19" s="137" t="s">
        <v>113</v>
      </c>
      <c r="B19" s="132">
        <f t="shared" si="3"/>
        <v>300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>
        <v>300</v>
      </c>
      <c r="M19" s="135"/>
      <c r="N19" s="135"/>
      <c r="P19" s="134">
        <f t="shared" si="2"/>
        <v>300</v>
      </c>
    </row>
    <row r="20" ht="15.15" spans="1:16">
      <c r="A20" s="137" t="s">
        <v>114</v>
      </c>
      <c r="B20" s="132">
        <f t="shared" si="3"/>
        <v>2500</v>
      </c>
      <c r="C20" s="135"/>
      <c r="D20" s="135"/>
      <c r="E20" s="135"/>
      <c r="F20" s="135"/>
      <c r="G20" s="135">
        <v>2500</v>
      </c>
      <c r="H20" s="135"/>
      <c r="I20" s="135"/>
      <c r="J20" s="135"/>
      <c r="K20" s="135"/>
      <c r="L20" s="135"/>
      <c r="M20" s="135"/>
      <c r="N20" s="135"/>
      <c r="P20" s="134">
        <f t="shared" si="2"/>
        <v>2500</v>
      </c>
    </row>
    <row r="21" ht="15.15" spans="1:16">
      <c r="A21" s="129"/>
      <c r="B21" s="138">
        <f>SUM(B7:B20)</f>
        <v>43340.5</v>
      </c>
      <c r="C21" s="139">
        <f t="shared" ref="C21:N21" si="4">SUM(C7:C20)</f>
        <v>4520.5</v>
      </c>
      <c r="D21" s="139">
        <f t="shared" si="4"/>
        <v>2420</v>
      </c>
      <c r="E21" s="139">
        <f t="shared" si="4"/>
        <v>2420</v>
      </c>
      <c r="F21" s="139">
        <f t="shared" si="4"/>
        <v>2420</v>
      </c>
      <c r="G21" s="139">
        <f t="shared" si="4"/>
        <v>7420</v>
      </c>
      <c r="H21" s="139">
        <f t="shared" si="4"/>
        <v>5820</v>
      </c>
      <c r="I21" s="139">
        <f t="shared" si="4"/>
        <v>4920</v>
      </c>
      <c r="J21" s="139">
        <f t="shared" si="4"/>
        <v>2420</v>
      </c>
      <c r="K21" s="139">
        <f t="shared" si="4"/>
        <v>3420</v>
      </c>
      <c r="L21" s="139">
        <f t="shared" si="4"/>
        <v>2720</v>
      </c>
      <c r="M21" s="139">
        <f t="shared" si="4"/>
        <v>2420</v>
      </c>
      <c r="N21" s="145">
        <f t="shared" si="4"/>
        <v>2420</v>
      </c>
      <c r="P21" s="141">
        <f>SUM(P7:P20)</f>
        <v>43340.5</v>
      </c>
    </row>
    <row r="22" spans="1:16">
      <c r="A22" s="129"/>
      <c r="B22" s="132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P22" s="134"/>
    </row>
    <row r="23" spans="1:16">
      <c r="A23" s="129"/>
      <c r="B23" s="140">
        <f>SUM(C21:N21)</f>
        <v>43340.5</v>
      </c>
      <c r="C23" s="134"/>
      <c r="D23" s="134"/>
      <c r="E23" s="141"/>
      <c r="F23" s="134"/>
      <c r="G23" s="134"/>
      <c r="H23" s="134"/>
      <c r="I23" s="134"/>
      <c r="J23" s="134"/>
      <c r="K23" s="134"/>
      <c r="L23" s="134"/>
      <c r="M23" s="134"/>
      <c r="N23" s="134"/>
      <c r="P23" s="141">
        <f>+P21</f>
        <v>43340.5</v>
      </c>
    </row>
    <row r="24" spans="1:16">
      <c r="A24" s="129"/>
      <c r="B24" s="141"/>
      <c r="C24" s="134"/>
      <c r="D24" s="134"/>
      <c r="E24" s="141"/>
      <c r="F24" s="134"/>
      <c r="G24" s="134"/>
      <c r="H24" s="134"/>
      <c r="I24" s="134"/>
      <c r="J24" s="134"/>
      <c r="K24" s="134"/>
      <c r="L24" s="134"/>
      <c r="M24" s="134"/>
      <c r="N24" s="134"/>
      <c r="P24" s="141"/>
    </row>
    <row r="25" spans="1:16">
      <c r="A25" s="129"/>
      <c r="B25" s="141"/>
      <c r="C25" s="134"/>
      <c r="D25" s="134"/>
      <c r="E25" s="141"/>
      <c r="F25" s="134"/>
      <c r="G25" s="134"/>
      <c r="H25" s="134"/>
      <c r="I25" s="134"/>
      <c r="J25" s="134"/>
      <c r="K25" s="134"/>
      <c r="L25" s="134"/>
      <c r="M25" s="134"/>
      <c r="N25" s="134"/>
      <c r="P25" s="141"/>
    </row>
    <row r="26" spans="1:16">
      <c r="A26" s="129"/>
      <c r="B26" s="141"/>
      <c r="C26" s="134"/>
      <c r="D26" s="134"/>
      <c r="E26" s="141"/>
      <c r="F26" s="134"/>
      <c r="G26" s="134"/>
      <c r="H26" s="134"/>
      <c r="I26" s="134"/>
      <c r="J26" s="134"/>
      <c r="K26" s="134"/>
      <c r="L26" s="134"/>
      <c r="M26" s="134"/>
      <c r="N26" s="134"/>
      <c r="P26" s="141"/>
    </row>
    <row r="27" spans="1:1">
      <c r="A27" s="126" t="s">
        <v>115</v>
      </c>
    </row>
    <row r="28" spans="1:3">
      <c r="A28" s="127"/>
      <c r="B28" s="128"/>
      <c r="C28" s="128"/>
    </row>
    <row r="29" spans="1:3">
      <c r="A29" s="129" t="s">
        <v>116</v>
      </c>
      <c r="B29" s="142">
        <v>2025</v>
      </c>
      <c r="C29" s="131"/>
    </row>
    <row r="30" spans="2:16">
      <c r="B30" s="132" t="s">
        <v>19</v>
      </c>
      <c r="C30" s="132" t="s">
        <v>7</v>
      </c>
      <c r="D30" s="132" t="s">
        <v>8</v>
      </c>
      <c r="E30" s="132" t="s">
        <v>9</v>
      </c>
      <c r="F30" s="132" t="s">
        <v>99</v>
      </c>
      <c r="G30" s="132" t="s">
        <v>11</v>
      </c>
      <c r="H30" s="132" t="s">
        <v>12</v>
      </c>
      <c r="I30" s="132" t="s">
        <v>13</v>
      </c>
      <c r="J30" s="132" t="s">
        <v>14</v>
      </c>
      <c r="K30" s="132" t="s">
        <v>15</v>
      </c>
      <c r="L30" s="132" t="s">
        <v>16</v>
      </c>
      <c r="M30" s="132" t="s">
        <v>17</v>
      </c>
      <c r="N30" s="132" t="s">
        <v>18</v>
      </c>
      <c r="P30" s="142">
        <v>2024</v>
      </c>
    </row>
    <row r="31" spans="2:16">
      <c r="B31" s="131"/>
      <c r="C31" s="131"/>
      <c r="P31" s="131"/>
    </row>
    <row r="32" ht="18" spans="1:16">
      <c r="A32" s="133" t="s">
        <v>100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P32" s="131"/>
    </row>
    <row r="33" spans="1:16">
      <c r="A33" s="129" t="s">
        <v>117</v>
      </c>
      <c r="B33" s="134">
        <f t="shared" ref="B33:B43" si="5">SUM(C33:N33)</f>
        <v>7510</v>
      </c>
      <c r="C33" s="135">
        <v>7510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P33" s="134">
        <f t="shared" ref="P33:P39" si="6">SUM(C33:N33)</f>
        <v>7510</v>
      </c>
    </row>
    <row r="34" spans="1:16">
      <c r="A34" s="129" t="s">
        <v>101</v>
      </c>
      <c r="B34" s="134">
        <f t="shared" si="5"/>
        <v>8280</v>
      </c>
      <c r="C34" s="135">
        <v>690</v>
      </c>
      <c r="D34" s="135">
        <v>690</v>
      </c>
      <c r="E34" s="135">
        <v>690</v>
      </c>
      <c r="F34" s="135">
        <v>690</v>
      </c>
      <c r="G34" s="135">
        <v>690</v>
      </c>
      <c r="H34" s="135">
        <v>690</v>
      </c>
      <c r="I34" s="135">
        <v>690</v>
      </c>
      <c r="J34" s="135">
        <v>690</v>
      </c>
      <c r="K34" s="135">
        <v>690</v>
      </c>
      <c r="L34" s="135">
        <v>690</v>
      </c>
      <c r="M34" s="135">
        <v>690</v>
      </c>
      <c r="N34" s="135">
        <v>690</v>
      </c>
      <c r="P34" s="134">
        <f t="shared" si="6"/>
        <v>8280</v>
      </c>
    </row>
    <row r="35" spans="1:16">
      <c r="A35" s="129" t="s">
        <v>118</v>
      </c>
      <c r="B35" s="134">
        <f t="shared" si="5"/>
        <v>1200</v>
      </c>
      <c r="C35" s="135">
        <v>100</v>
      </c>
      <c r="D35" s="135">
        <v>100</v>
      </c>
      <c r="E35" s="135">
        <v>100</v>
      </c>
      <c r="F35" s="135">
        <v>100</v>
      </c>
      <c r="G35" s="135">
        <v>100</v>
      </c>
      <c r="H35" s="135">
        <v>100</v>
      </c>
      <c r="I35" s="135">
        <v>100</v>
      </c>
      <c r="J35" s="135">
        <v>100</v>
      </c>
      <c r="K35" s="135">
        <v>100</v>
      </c>
      <c r="L35" s="135">
        <v>100</v>
      </c>
      <c r="M35" s="135">
        <v>100</v>
      </c>
      <c r="N35" s="135">
        <v>100</v>
      </c>
      <c r="P35" s="134">
        <v>1200</v>
      </c>
    </row>
    <row r="36" spans="1:16">
      <c r="A36" s="129" t="s">
        <v>102</v>
      </c>
      <c r="B36" s="134">
        <f t="shared" si="5"/>
        <v>1000</v>
      </c>
      <c r="C36" s="135"/>
      <c r="D36" s="135"/>
      <c r="E36" s="135"/>
      <c r="F36" s="135"/>
      <c r="G36" s="135"/>
      <c r="H36" s="135"/>
      <c r="I36" s="135"/>
      <c r="J36" s="135"/>
      <c r="K36" s="135">
        <v>1000</v>
      </c>
      <c r="L36" s="135"/>
      <c r="M36" s="135"/>
      <c r="N36" s="135"/>
      <c r="P36" s="134">
        <f t="shared" si="6"/>
        <v>1000</v>
      </c>
    </row>
    <row r="37" spans="1:16">
      <c r="A37" s="129" t="s">
        <v>103</v>
      </c>
      <c r="B37" s="134">
        <f t="shared" si="5"/>
        <v>300.5</v>
      </c>
      <c r="C37" s="135">
        <v>300.5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P37" s="134">
        <f t="shared" si="6"/>
        <v>300.5</v>
      </c>
    </row>
    <row r="38" spans="1:16">
      <c r="A38" s="129" t="s">
        <v>104</v>
      </c>
      <c r="B38" s="134">
        <f t="shared" si="5"/>
        <v>900</v>
      </c>
      <c r="C38" s="135"/>
      <c r="D38" s="135"/>
      <c r="E38" s="135"/>
      <c r="F38" s="135"/>
      <c r="G38" s="135"/>
      <c r="H38" s="135">
        <v>900</v>
      </c>
      <c r="I38" s="135"/>
      <c r="J38" s="135"/>
      <c r="K38" s="135"/>
      <c r="L38" s="135"/>
      <c r="M38" s="135"/>
      <c r="N38" s="135"/>
      <c r="P38" s="134">
        <f t="shared" si="6"/>
        <v>900</v>
      </c>
    </row>
    <row r="39" spans="1:16">
      <c r="A39" s="129" t="s">
        <v>105</v>
      </c>
      <c r="B39" s="134">
        <f t="shared" si="5"/>
        <v>8400</v>
      </c>
      <c r="C39" s="135">
        <v>700</v>
      </c>
      <c r="D39" s="135">
        <v>700</v>
      </c>
      <c r="E39" s="135">
        <v>700</v>
      </c>
      <c r="F39" s="135">
        <v>700</v>
      </c>
      <c r="G39" s="135">
        <v>700</v>
      </c>
      <c r="H39" s="135">
        <v>700</v>
      </c>
      <c r="I39" s="135">
        <v>700</v>
      </c>
      <c r="J39" s="135">
        <v>700</v>
      </c>
      <c r="K39" s="135">
        <v>700</v>
      </c>
      <c r="L39" s="135">
        <v>700</v>
      </c>
      <c r="M39" s="135">
        <v>700</v>
      </c>
      <c r="N39" s="135">
        <v>700</v>
      </c>
      <c r="P39" s="134">
        <f t="shared" si="6"/>
        <v>8400</v>
      </c>
    </row>
    <row r="40" spans="1:16">
      <c r="A40" s="129" t="s">
        <v>106</v>
      </c>
      <c r="B40" s="134">
        <f t="shared" si="5"/>
        <v>4800</v>
      </c>
      <c r="C40" s="135">
        <v>400</v>
      </c>
      <c r="D40" s="135">
        <v>400</v>
      </c>
      <c r="E40" s="135">
        <v>400</v>
      </c>
      <c r="F40" s="135">
        <v>400</v>
      </c>
      <c r="G40" s="135">
        <v>400</v>
      </c>
      <c r="H40" s="135">
        <v>400</v>
      </c>
      <c r="I40" s="135">
        <v>400</v>
      </c>
      <c r="J40" s="135">
        <v>400</v>
      </c>
      <c r="K40" s="135">
        <v>400</v>
      </c>
      <c r="L40" s="135">
        <v>400</v>
      </c>
      <c r="M40" s="135">
        <v>400</v>
      </c>
      <c r="N40" s="135">
        <v>400</v>
      </c>
      <c r="P40" s="134">
        <f t="shared" ref="P40:P48" si="7">SUM(C40:N40)</f>
        <v>4800</v>
      </c>
    </row>
    <row r="41" spans="1:16">
      <c r="A41" s="129" t="s">
        <v>107</v>
      </c>
      <c r="B41" s="134">
        <f t="shared" si="5"/>
        <v>2400</v>
      </c>
      <c r="C41" s="135">
        <v>200</v>
      </c>
      <c r="D41" s="135">
        <v>200</v>
      </c>
      <c r="E41" s="135">
        <v>200</v>
      </c>
      <c r="F41" s="135">
        <v>200</v>
      </c>
      <c r="G41" s="135">
        <v>200</v>
      </c>
      <c r="H41" s="135">
        <v>200</v>
      </c>
      <c r="I41" s="135">
        <v>200</v>
      </c>
      <c r="J41" s="135">
        <v>200</v>
      </c>
      <c r="K41" s="135">
        <v>200</v>
      </c>
      <c r="L41" s="135">
        <v>200</v>
      </c>
      <c r="M41" s="135">
        <v>200</v>
      </c>
      <c r="N41" s="135">
        <v>200</v>
      </c>
      <c r="P41" s="134">
        <f t="shared" si="7"/>
        <v>2400</v>
      </c>
    </row>
    <row r="42" ht="28.8" spans="1:16">
      <c r="A42" s="136" t="s">
        <v>119</v>
      </c>
      <c r="B42" s="134">
        <f t="shared" si="5"/>
        <v>600</v>
      </c>
      <c r="C42" s="135"/>
      <c r="D42" s="135">
        <v>600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P42" s="134">
        <f t="shared" si="7"/>
        <v>600</v>
      </c>
    </row>
    <row r="43" spans="1:16">
      <c r="A43" s="137" t="s">
        <v>120</v>
      </c>
      <c r="B43" s="134">
        <f t="shared" si="5"/>
        <v>1726</v>
      </c>
      <c r="C43" s="135">
        <v>1000</v>
      </c>
      <c r="D43" s="135"/>
      <c r="E43" s="135">
        <v>726</v>
      </c>
      <c r="F43" s="135"/>
      <c r="G43" s="135"/>
      <c r="H43" s="135"/>
      <c r="I43" s="135"/>
      <c r="J43" s="135"/>
      <c r="K43" s="135"/>
      <c r="L43" s="135"/>
      <c r="M43" s="135"/>
      <c r="N43" s="135"/>
      <c r="P43" s="134">
        <v>0</v>
      </c>
    </row>
    <row r="44" spans="1:16">
      <c r="A44" s="137" t="s">
        <v>121</v>
      </c>
      <c r="B44" s="134">
        <f t="shared" ref="B44:B48" si="8">SUM(C44:N44)</f>
        <v>0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P44" s="134">
        <f t="shared" si="7"/>
        <v>0</v>
      </c>
    </row>
    <row r="45" spans="1:16">
      <c r="A45" s="137" t="s">
        <v>122</v>
      </c>
      <c r="B45" s="134">
        <f t="shared" si="8"/>
        <v>0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P45" s="134">
        <f t="shared" si="7"/>
        <v>0</v>
      </c>
    </row>
    <row r="46" spans="1:16">
      <c r="A46" s="137" t="s">
        <v>123</v>
      </c>
      <c r="B46" s="134">
        <f t="shared" si="8"/>
        <v>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P46" s="134">
        <f t="shared" si="7"/>
        <v>0</v>
      </c>
    </row>
    <row r="47" spans="1:16">
      <c r="A47" s="137" t="s">
        <v>114</v>
      </c>
      <c r="B47" s="134">
        <f t="shared" si="8"/>
        <v>3000</v>
      </c>
      <c r="C47" s="135"/>
      <c r="D47" s="135"/>
      <c r="E47" s="135"/>
      <c r="F47" s="135"/>
      <c r="G47" s="135">
        <v>3000</v>
      </c>
      <c r="H47" s="135"/>
      <c r="I47" s="135"/>
      <c r="J47" s="135"/>
      <c r="K47" s="135"/>
      <c r="L47" s="135"/>
      <c r="M47" s="135"/>
      <c r="N47" s="135"/>
      <c r="P47" s="134">
        <f t="shared" si="7"/>
        <v>3000</v>
      </c>
    </row>
    <row r="48" spans="1:16">
      <c r="A48" s="143" t="s">
        <v>124</v>
      </c>
      <c r="B48" s="141">
        <f t="shared" si="8"/>
        <v>6500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6">
        <v>6500</v>
      </c>
      <c r="M48" s="144"/>
      <c r="N48" s="144"/>
      <c r="P48" s="134">
        <f t="shared" si="7"/>
        <v>6500</v>
      </c>
    </row>
    <row r="49" spans="1:16">
      <c r="A49" s="129"/>
      <c r="B49" s="141">
        <f>SUM(B33:B48)</f>
        <v>46616.5</v>
      </c>
      <c r="C49" s="144">
        <f>SUM(C33:C48)</f>
        <v>10900.5</v>
      </c>
      <c r="D49" s="144">
        <f t="shared" ref="D49:N49" si="9">SUM(D33:D48)</f>
        <v>2690</v>
      </c>
      <c r="E49" s="144">
        <f t="shared" si="9"/>
        <v>2816</v>
      </c>
      <c r="F49" s="144">
        <f t="shared" si="9"/>
        <v>2090</v>
      </c>
      <c r="G49" s="144">
        <f t="shared" si="9"/>
        <v>5090</v>
      </c>
      <c r="H49" s="144">
        <f t="shared" si="9"/>
        <v>2990</v>
      </c>
      <c r="I49" s="144">
        <f t="shared" si="9"/>
        <v>2090</v>
      </c>
      <c r="J49" s="144">
        <f t="shared" si="9"/>
        <v>2090</v>
      </c>
      <c r="K49" s="144">
        <f t="shared" si="9"/>
        <v>3090</v>
      </c>
      <c r="L49" s="144">
        <f t="shared" si="9"/>
        <v>8590</v>
      </c>
      <c r="M49" s="144">
        <f t="shared" si="9"/>
        <v>2090</v>
      </c>
      <c r="N49" s="144">
        <f t="shared" si="9"/>
        <v>2090</v>
      </c>
      <c r="P49" s="141">
        <f>SUM(P33:P48)</f>
        <v>44890.5</v>
      </c>
    </row>
    <row r="50" spans="1:16">
      <c r="A50" s="129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P50" s="134"/>
    </row>
    <row r="51" spans="1:16">
      <c r="A51" s="129"/>
      <c r="B51" s="141">
        <f>SUM(C49:N49)</f>
        <v>46616.5</v>
      </c>
      <c r="C51" s="134"/>
      <c r="D51" s="134"/>
      <c r="E51" s="141"/>
      <c r="F51" s="134"/>
      <c r="G51" s="134"/>
      <c r="H51" s="134"/>
      <c r="I51" s="134"/>
      <c r="J51" s="134"/>
      <c r="K51" s="134"/>
      <c r="L51" s="134"/>
      <c r="M51" s="134"/>
      <c r="N51" s="134"/>
      <c r="P51" s="141">
        <f>+P49</f>
        <v>44890.5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L23" sqref="L23"/>
    </sheetView>
  </sheetViews>
  <sheetFormatPr defaultColWidth="11" defaultRowHeight="14.4" outlineLevelCol="5"/>
  <cols>
    <col min="2" max="2" width="35.8518518518519" customWidth="1"/>
    <col min="3" max="3" width="61.8518518518519" customWidth="1"/>
    <col min="4" max="4" width="14.4259259259259" customWidth="1"/>
    <col min="5" max="5" width="12.5740740740741" customWidth="1"/>
  </cols>
  <sheetData>
    <row r="1" spans="1:6">
      <c r="A1" s="111" t="s">
        <v>125</v>
      </c>
      <c r="B1" s="111" t="s">
        <v>126</v>
      </c>
      <c r="C1" s="111" t="s">
        <v>127</v>
      </c>
      <c r="D1" s="112" t="s">
        <v>128</v>
      </c>
      <c r="E1" s="113">
        <v>2026</v>
      </c>
      <c r="F1" s="114" t="s">
        <v>129</v>
      </c>
    </row>
    <row r="2" spans="1:6">
      <c r="A2" s="115" t="s">
        <v>130</v>
      </c>
      <c r="B2" s="116" t="s">
        <v>79</v>
      </c>
      <c r="C2" s="117"/>
      <c r="D2" s="118"/>
      <c r="E2" s="119"/>
      <c r="F2" s="118"/>
    </row>
    <row r="3" spans="1:6">
      <c r="A3" s="115" t="s">
        <v>130</v>
      </c>
      <c r="B3" s="115" t="s">
        <v>131</v>
      </c>
      <c r="C3" s="120" t="s">
        <v>79</v>
      </c>
      <c r="D3" s="118"/>
      <c r="E3" s="119"/>
      <c r="F3" s="118"/>
    </row>
    <row r="4" spans="1:6">
      <c r="A4" s="115" t="s">
        <v>130</v>
      </c>
      <c r="B4" s="115" t="s">
        <v>131</v>
      </c>
      <c r="C4" s="117" t="s">
        <v>132</v>
      </c>
      <c r="D4" s="121">
        <v>7319.34</v>
      </c>
      <c r="E4" s="122">
        <v>8000</v>
      </c>
      <c r="F4" s="118">
        <f t="shared" ref="F4:F33" si="0">E4-D4</f>
        <v>680.66</v>
      </c>
    </row>
    <row r="5" spans="1:6">
      <c r="A5" s="115" t="s">
        <v>130</v>
      </c>
      <c r="B5" s="115" t="s">
        <v>131</v>
      </c>
      <c r="C5" s="117" t="s">
        <v>133</v>
      </c>
      <c r="D5" s="121">
        <v>41327.18</v>
      </c>
      <c r="E5" s="122">
        <v>45000</v>
      </c>
      <c r="F5" s="118">
        <f t="shared" si="0"/>
        <v>3672.82</v>
      </c>
    </row>
    <row r="6" spans="1:6">
      <c r="A6" s="115" t="s">
        <v>130</v>
      </c>
      <c r="B6" s="115" t="s">
        <v>131</v>
      </c>
      <c r="C6" s="117" t="s">
        <v>134</v>
      </c>
      <c r="D6" s="121">
        <v>43970.46</v>
      </c>
      <c r="E6" s="122">
        <v>50000</v>
      </c>
      <c r="F6" s="118">
        <f t="shared" si="0"/>
        <v>6029.54</v>
      </c>
    </row>
    <row r="7" spans="1:6">
      <c r="A7" s="115" t="s">
        <v>130</v>
      </c>
      <c r="B7" s="115" t="s">
        <v>131</v>
      </c>
      <c r="C7" s="117" t="s">
        <v>135</v>
      </c>
      <c r="D7" s="121">
        <v>5469.98</v>
      </c>
      <c r="E7" s="122">
        <v>6000</v>
      </c>
      <c r="F7" s="118">
        <f t="shared" si="0"/>
        <v>530.02</v>
      </c>
    </row>
    <row r="8" spans="1:6">
      <c r="A8" s="115" t="s">
        <v>130</v>
      </c>
      <c r="B8" s="115" t="s">
        <v>131</v>
      </c>
      <c r="C8" s="117" t="s">
        <v>136</v>
      </c>
      <c r="D8" s="121">
        <v>696.25</v>
      </c>
      <c r="E8" s="122">
        <v>3000</v>
      </c>
      <c r="F8" s="118">
        <f t="shared" si="0"/>
        <v>2303.75</v>
      </c>
    </row>
    <row r="9" spans="1:6">
      <c r="A9" s="115" t="s">
        <v>130</v>
      </c>
      <c r="B9" s="115" t="s">
        <v>131</v>
      </c>
      <c r="C9" s="117" t="s">
        <v>137</v>
      </c>
      <c r="D9" s="121">
        <v>10402.7</v>
      </c>
      <c r="E9" s="122">
        <v>12000</v>
      </c>
      <c r="F9" s="118">
        <f t="shared" si="0"/>
        <v>1597.3</v>
      </c>
    </row>
    <row r="10" spans="1:6">
      <c r="A10" s="115" t="s">
        <v>130</v>
      </c>
      <c r="B10" s="115" t="s">
        <v>131</v>
      </c>
      <c r="C10" s="117" t="s">
        <v>138</v>
      </c>
      <c r="D10" s="121">
        <v>3945.3</v>
      </c>
      <c r="E10" s="122">
        <v>4500</v>
      </c>
      <c r="F10" s="118">
        <f t="shared" si="0"/>
        <v>554.7</v>
      </c>
    </row>
    <row r="11" spans="1:6">
      <c r="A11" s="115" t="s">
        <v>130</v>
      </c>
      <c r="B11" s="115" t="s">
        <v>131</v>
      </c>
      <c r="C11" s="117" t="s">
        <v>139</v>
      </c>
      <c r="D11" s="121"/>
      <c r="E11" s="122"/>
      <c r="F11" s="118"/>
    </row>
    <row r="12" spans="1:6">
      <c r="A12" s="115" t="s">
        <v>130</v>
      </c>
      <c r="B12" s="115" t="s">
        <v>131</v>
      </c>
      <c r="C12" s="117" t="s">
        <v>140</v>
      </c>
      <c r="D12" s="121">
        <v>1708.6</v>
      </c>
      <c r="E12" s="122">
        <v>2000</v>
      </c>
      <c r="F12" s="118">
        <f t="shared" si="0"/>
        <v>291.4</v>
      </c>
    </row>
    <row r="13" spans="1:6">
      <c r="A13" s="115" t="s">
        <v>130</v>
      </c>
      <c r="B13" s="115" t="s">
        <v>131</v>
      </c>
      <c r="C13" s="117" t="s">
        <v>141</v>
      </c>
      <c r="D13" s="121">
        <v>2777.36</v>
      </c>
      <c r="E13" s="122">
        <v>3200</v>
      </c>
      <c r="F13" s="118">
        <f t="shared" si="0"/>
        <v>422.64</v>
      </c>
    </row>
    <row r="14" spans="1:6">
      <c r="A14" s="115" t="s">
        <v>130</v>
      </c>
      <c r="B14" s="115" t="s">
        <v>131</v>
      </c>
      <c r="C14" s="117" t="s">
        <v>142</v>
      </c>
      <c r="D14" s="121">
        <v>1992.12</v>
      </c>
      <c r="E14" s="122">
        <v>2500</v>
      </c>
      <c r="F14" s="118">
        <f t="shared" si="0"/>
        <v>507.88</v>
      </c>
    </row>
    <row r="15" spans="1:6">
      <c r="A15" s="115" t="s">
        <v>130</v>
      </c>
      <c r="B15" s="115" t="s">
        <v>131</v>
      </c>
      <c r="C15" s="117" t="s">
        <v>143</v>
      </c>
      <c r="D15" s="121">
        <v>2774.43</v>
      </c>
      <c r="E15" s="122">
        <v>3000</v>
      </c>
      <c r="F15" s="118">
        <f t="shared" si="0"/>
        <v>225.57</v>
      </c>
    </row>
    <row r="16" spans="1:6">
      <c r="A16" s="115" t="s">
        <v>130</v>
      </c>
      <c r="B16" s="115" t="s">
        <v>131</v>
      </c>
      <c r="C16" s="117" t="s">
        <v>144</v>
      </c>
      <c r="D16" s="121">
        <v>49250.51</v>
      </c>
      <c r="E16" s="122">
        <v>55000</v>
      </c>
      <c r="F16" s="118">
        <f t="shared" si="0"/>
        <v>5749.49</v>
      </c>
    </row>
    <row r="17" spans="1:6">
      <c r="A17" s="115" t="s">
        <v>130</v>
      </c>
      <c r="B17" s="115" t="s">
        <v>131</v>
      </c>
      <c r="C17" s="117" t="s">
        <v>145</v>
      </c>
      <c r="D17" s="121">
        <v>1400</v>
      </c>
      <c r="E17" s="122">
        <v>3500</v>
      </c>
      <c r="F17" s="118">
        <f t="shared" si="0"/>
        <v>2100</v>
      </c>
    </row>
    <row r="18" spans="1:6">
      <c r="A18" s="115" t="s">
        <v>130</v>
      </c>
      <c r="B18" s="115" t="s">
        <v>131</v>
      </c>
      <c r="C18" s="117" t="s">
        <v>146</v>
      </c>
      <c r="D18" s="121">
        <v>33742.24</v>
      </c>
      <c r="E18" s="122">
        <v>38000</v>
      </c>
      <c r="F18" s="118">
        <f t="shared" si="0"/>
        <v>4257.76000000001</v>
      </c>
    </row>
    <row r="19" spans="1:6">
      <c r="A19" s="115" t="s">
        <v>130</v>
      </c>
      <c r="B19" s="115" t="s">
        <v>131</v>
      </c>
      <c r="C19" s="117" t="s">
        <v>147</v>
      </c>
      <c r="D19" s="121">
        <v>7883.12</v>
      </c>
      <c r="E19" s="122">
        <v>10000</v>
      </c>
      <c r="F19" s="118">
        <f t="shared" si="0"/>
        <v>2116.88</v>
      </c>
    </row>
    <row r="20" spans="1:6">
      <c r="A20" s="115" t="s">
        <v>130</v>
      </c>
      <c r="B20" s="115" t="s">
        <v>131</v>
      </c>
      <c r="C20" s="123" t="s">
        <v>148</v>
      </c>
      <c r="D20" s="121">
        <v>8904.62</v>
      </c>
      <c r="E20" s="122">
        <v>10000</v>
      </c>
      <c r="F20" s="118">
        <f t="shared" si="0"/>
        <v>1095.38</v>
      </c>
    </row>
    <row r="21" spans="1:6">
      <c r="A21" s="115" t="s">
        <v>130</v>
      </c>
      <c r="B21" s="115" t="s">
        <v>131</v>
      </c>
      <c r="C21" s="117" t="s">
        <v>149</v>
      </c>
      <c r="D21" s="121">
        <v>35730.34</v>
      </c>
      <c r="E21" s="122">
        <v>40000</v>
      </c>
      <c r="F21" s="118">
        <f t="shared" si="0"/>
        <v>4269.66</v>
      </c>
    </row>
    <row r="22" spans="1:6">
      <c r="A22" s="115" t="s">
        <v>130</v>
      </c>
      <c r="B22" s="115" t="s">
        <v>131</v>
      </c>
      <c r="C22" s="117" t="s">
        <v>150</v>
      </c>
      <c r="D22" s="121">
        <v>4617.71</v>
      </c>
      <c r="E22" s="122">
        <v>5000</v>
      </c>
      <c r="F22" s="118">
        <f t="shared" si="0"/>
        <v>382.29</v>
      </c>
    </row>
    <row r="23" spans="1:6">
      <c r="A23" s="115" t="s">
        <v>130</v>
      </c>
      <c r="B23" s="115" t="s">
        <v>131</v>
      </c>
      <c r="C23" s="117" t="s">
        <v>151</v>
      </c>
      <c r="D23" s="121">
        <v>13333.18</v>
      </c>
      <c r="E23" s="122">
        <v>15000</v>
      </c>
      <c r="F23" s="118">
        <f t="shared" si="0"/>
        <v>1666.82</v>
      </c>
    </row>
    <row r="24" spans="1:6">
      <c r="A24" s="115" t="s">
        <v>130</v>
      </c>
      <c r="B24" s="115" t="s">
        <v>131</v>
      </c>
      <c r="C24" s="117" t="s">
        <v>152</v>
      </c>
      <c r="D24" s="121"/>
      <c r="E24" s="122">
        <v>10000</v>
      </c>
      <c r="F24" s="118">
        <f t="shared" si="0"/>
        <v>10000</v>
      </c>
    </row>
    <row r="25" spans="1:6">
      <c r="A25" s="115" t="s">
        <v>130</v>
      </c>
      <c r="B25" s="115" t="s">
        <v>131</v>
      </c>
      <c r="C25" s="117" t="s">
        <v>153</v>
      </c>
      <c r="D25" s="121"/>
      <c r="E25" s="122"/>
      <c r="F25" s="118">
        <f t="shared" si="0"/>
        <v>0</v>
      </c>
    </row>
    <row r="26" spans="1:6">
      <c r="A26" s="115" t="s">
        <v>130</v>
      </c>
      <c r="B26" s="115" t="s">
        <v>131</v>
      </c>
      <c r="C26" s="117" t="s">
        <v>154</v>
      </c>
      <c r="D26" s="121"/>
      <c r="E26" s="122"/>
      <c r="F26" s="118">
        <f t="shared" si="0"/>
        <v>0</v>
      </c>
    </row>
    <row r="27" spans="1:6">
      <c r="A27" s="115" t="s">
        <v>130</v>
      </c>
      <c r="B27" s="115" t="s">
        <v>131</v>
      </c>
      <c r="C27" s="117" t="s">
        <v>155</v>
      </c>
      <c r="D27" s="121">
        <v>1688.99</v>
      </c>
      <c r="E27" s="122">
        <v>2000</v>
      </c>
      <c r="F27" s="118">
        <f t="shared" si="0"/>
        <v>311.01</v>
      </c>
    </row>
    <row r="28" spans="1:6">
      <c r="A28" s="115" t="s">
        <v>130</v>
      </c>
      <c r="B28" s="115" t="s">
        <v>131</v>
      </c>
      <c r="C28" s="117" t="s">
        <v>156</v>
      </c>
      <c r="D28" s="121">
        <v>14548.16</v>
      </c>
      <c r="E28" s="122">
        <v>25000</v>
      </c>
      <c r="F28" s="118">
        <f t="shared" si="0"/>
        <v>10451.84</v>
      </c>
    </row>
    <row r="29" spans="1:6">
      <c r="A29" s="115" t="s">
        <v>130</v>
      </c>
      <c r="B29" s="115" t="s">
        <v>131</v>
      </c>
      <c r="C29" s="117" t="s">
        <v>157</v>
      </c>
      <c r="D29" s="121">
        <v>59114.65</v>
      </c>
      <c r="E29" s="122">
        <v>68000</v>
      </c>
      <c r="F29" s="118">
        <f t="shared" si="0"/>
        <v>8885.34999999999</v>
      </c>
    </row>
    <row r="30" spans="1:6">
      <c r="A30" s="115" t="s">
        <v>130</v>
      </c>
      <c r="B30" s="115" t="s">
        <v>131</v>
      </c>
      <c r="C30" s="117" t="s">
        <v>158</v>
      </c>
      <c r="D30" s="121">
        <v>4720</v>
      </c>
      <c r="E30" s="122">
        <v>6000</v>
      </c>
      <c r="F30" s="118">
        <f t="shared" si="0"/>
        <v>1280</v>
      </c>
    </row>
    <row r="31" spans="1:6">
      <c r="A31" s="115" t="s">
        <v>130</v>
      </c>
      <c r="B31" s="115" t="s">
        <v>131</v>
      </c>
      <c r="C31" s="117" t="s">
        <v>159</v>
      </c>
      <c r="D31" s="121">
        <v>19210.37</v>
      </c>
      <c r="E31" s="122">
        <v>20000</v>
      </c>
      <c r="F31" s="118">
        <f t="shared" si="0"/>
        <v>789.630000000001</v>
      </c>
    </row>
    <row r="32" spans="1:6">
      <c r="A32" s="115" t="s">
        <v>130</v>
      </c>
      <c r="B32" s="115" t="s">
        <v>131</v>
      </c>
      <c r="C32" s="117" t="s">
        <v>160</v>
      </c>
      <c r="D32" s="121"/>
      <c r="E32" s="122"/>
      <c r="F32" s="118"/>
    </row>
    <row r="33" spans="1:6">
      <c r="A33" s="115" t="s">
        <v>130</v>
      </c>
      <c r="B33" s="115" t="s">
        <v>131</v>
      </c>
      <c r="C33" s="117" t="s">
        <v>161</v>
      </c>
      <c r="D33" s="121">
        <v>5787.8</v>
      </c>
      <c r="E33" s="122">
        <v>6000</v>
      </c>
      <c r="F33" s="118">
        <f t="shared" si="0"/>
        <v>212.2</v>
      </c>
    </row>
    <row r="34" spans="1:6">
      <c r="A34" s="115" t="s">
        <v>130</v>
      </c>
      <c r="B34" s="115"/>
      <c r="C34" s="117"/>
      <c r="D34" s="121"/>
      <c r="F34" s="118"/>
    </row>
    <row r="35" ht="18" spans="1:6">
      <c r="A35" s="115" t="s">
        <v>130</v>
      </c>
      <c r="B35" s="115"/>
      <c r="C35" s="117"/>
      <c r="D35" s="124">
        <f>SUM(D4:D33)</f>
        <v>382315.41</v>
      </c>
      <c r="E35" s="124">
        <f>SUM(E4:E33)</f>
        <v>452700</v>
      </c>
      <c r="F35" s="118"/>
    </row>
    <row r="36" spans="1:6">
      <c r="A36" s="115" t="s">
        <v>130</v>
      </c>
      <c r="B36" s="115" t="s">
        <v>162</v>
      </c>
      <c r="C36" s="120" t="s">
        <v>79</v>
      </c>
      <c r="D36" s="118"/>
      <c r="E36" s="118"/>
      <c r="F36" s="118"/>
    </row>
    <row r="37" spans="1:6">
      <c r="A37" s="115" t="s">
        <v>130</v>
      </c>
      <c r="B37" s="115" t="s">
        <v>162</v>
      </c>
      <c r="C37" s="117" t="s">
        <v>163</v>
      </c>
      <c r="D37" s="121">
        <v>46025.92</v>
      </c>
      <c r="E37" s="122">
        <v>53000</v>
      </c>
      <c r="F37" s="118">
        <f t="shared" ref="F37:F38" si="1">E37-D37</f>
        <v>6974.08</v>
      </c>
    </row>
    <row r="38" spans="1:6">
      <c r="A38" s="115" t="s">
        <v>130</v>
      </c>
      <c r="B38" s="115" t="s">
        <v>162</v>
      </c>
      <c r="C38" s="117" t="s">
        <v>164</v>
      </c>
      <c r="D38" s="121">
        <v>85313.36</v>
      </c>
      <c r="E38" s="122">
        <v>100000</v>
      </c>
      <c r="F38" s="118">
        <f t="shared" si="1"/>
        <v>14686.64</v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1"/>
  <sheetViews>
    <sheetView workbookViewId="0">
      <selection activeCell="E12" sqref="E12"/>
    </sheetView>
  </sheetViews>
  <sheetFormatPr defaultColWidth="11" defaultRowHeight="14.4"/>
  <cols>
    <col min="1" max="1" width="4.71296296296296" style="1" customWidth="1"/>
    <col min="2" max="2" width="3.71296296296296" style="1" customWidth="1"/>
    <col min="3" max="3" width="17.712962962963" style="1" customWidth="1"/>
    <col min="4" max="4" width="17.712962962963" style="2" customWidth="1"/>
    <col min="5" max="5" width="43.5740740740741" style="1" customWidth="1"/>
    <col min="6" max="6" width="12.8518518518519" style="1" customWidth="1"/>
    <col min="7" max="8" width="27.1388888888889" style="2" customWidth="1"/>
    <col min="9" max="9" width="22" style="2" customWidth="1"/>
    <col min="10" max="11" width="18.287037037037" style="2" customWidth="1"/>
    <col min="12" max="12" width="24" style="2" customWidth="1"/>
    <col min="13" max="14" width="9.71296296296296" style="1" customWidth="1"/>
    <col min="15" max="15" width="25.287037037037" style="1" hidden="1" customWidth="1"/>
    <col min="16" max="16" width="13.4259259259259" style="1" hidden="1" customWidth="1"/>
    <col min="17" max="17" width="10.712962962963" style="1" customWidth="1"/>
    <col min="18" max="256" width="11.4259259259259" style="1"/>
    <col min="257" max="257" width="4.71296296296296" style="1" customWidth="1"/>
    <col min="258" max="258" width="3.71296296296296" style="1" customWidth="1"/>
    <col min="259" max="260" width="17.712962962963" style="1" customWidth="1"/>
    <col min="261" max="261" width="43.5740740740741" style="1" customWidth="1"/>
    <col min="262" max="262" width="12.8518518518519" style="1" customWidth="1"/>
    <col min="263" max="264" width="27.1388888888889" style="1" customWidth="1"/>
    <col min="265" max="265" width="20.1388888888889" style="1" customWidth="1"/>
    <col min="266" max="267" width="18.287037037037" style="1" customWidth="1"/>
    <col min="268" max="268" width="24" style="1" customWidth="1"/>
    <col min="269" max="270" width="9.71296296296296" style="1" customWidth="1"/>
    <col min="271" max="272" width="11" style="1" hidden="1" customWidth="1"/>
    <col min="273" max="273" width="10.712962962963" style="1" customWidth="1"/>
    <col min="274" max="512" width="11.4259259259259" style="1"/>
    <col min="513" max="513" width="4.71296296296296" style="1" customWidth="1"/>
    <col min="514" max="514" width="3.71296296296296" style="1" customWidth="1"/>
    <col min="515" max="516" width="17.712962962963" style="1" customWidth="1"/>
    <col min="517" max="517" width="43.5740740740741" style="1" customWidth="1"/>
    <col min="518" max="518" width="12.8518518518519" style="1" customWidth="1"/>
    <col min="519" max="520" width="27.1388888888889" style="1" customWidth="1"/>
    <col min="521" max="521" width="20.1388888888889" style="1" customWidth="1"/>
    <col min="522" max="523" width="18.287037037037" style="1" customWidth="1"/>
    <col min="524" max="524" width="24" style="1" customWidth="1"/>
    <col min="525" max="526" width="9.71296296296296" style="1" customWidth="1"/>
    <col min="527" max="528" width="11" style="1" hidden="1" customWidth="1"/>
    <col min="529" max="529" width="10.712962962963" style="1" customWidth="1"/>
    <col min="530" max="768" width="11.4259259259259" style="1"/>
    <col min="769" max="769" width="4.71296296296296" style="1" customWidth="1"/>
    <col min="770" max="770" width="3.71296296296296" style="1" customWidth="1"/>
    <col min="771" max="772" width="17.712962962963" style="1" customWidth="1"/>
    <col min="773" max="773" width="43.5740740740741" style="1" customWidth="1"/>
    <col min="774" max="774" width="12.8518518518519" style="1" customWidth="1"/>
    <col min="775" max="776" width="27.1388888888889" style="1" customWidth="1"/>
    <col min="777" max="777" width="20.1388888888889" style="1" customWidth="1"/>
    <col min="778" max="779" width="18.287037037037" style="1" customWidth="1"/>
    <col min="780" max="780" width="24" style="1" customWidth="1"/>
    <col min="781" max="782" width="9.71296296296296" style="1" customWidth="1"/>
    <col min="783" max="784" width="11" style="1" hidden="1" customWidth="1"/>
    <col min="785" max="785" width="10.712962962963" style="1" customWidth="1"/>
    <col min="786" max="1024" width="11.4259259259259" style="1"/>
    <col min="1025" max="1025" width="4.71296296296296" style="1" customWidth="1"/>
    <col min="1026" max="1026" width="3.71296296296296" style="1" customWidth="1"/>
    <col min="1027" max="1028" width="17.712962962963" style="1" customWidth="1"/>
    <col min="1029" max="1029" width="43.5740740740741" style="1" customWidth="1"/>
    <col min="1030" max="1030" width="12.8518518518519" style="1" customWidth="1"/>
    <col min="1031" max="1032" width="27.1388888888889" style="1" customWidth="1"/>
    <col min="1033" max="1033" width="20.1388888888889" style="1" customWidth="1"/>
    <col min="1034" max="1035" width="18.287037037037" style="1" customWidth="1"/>
    <col min="1036" max="1036" width="24" style="1" customWidth="1"/>
    <col min="1037" max="1038" width="9.71296296296296" style="1" customWidth="1"/>
    <col min="1039" max="1040" width="11" style="1" hidden="1" customWidth="1"/>
    <col min="1041" max="1041" width="10.712962962963" style="1" customWidth="1"/>
    <col min="1042" max="1280" width="11.4259259259259" style="1"/>
    <col min="1281" max="1281" width="4.71296296296296" style="1" customWidth="1"/>
    <col min="1282" max="1282" width="3.71296296296296" style="1" customWidth="1"/>
    <col min="1283" max="1284" width="17.712962962963" style="1" customWidth="1"/>
    <col min="1285" max="1285" width="43.5740740740741" style="1" customWidth="1"/>
    <col min="1286" max="1286" width="12.8518518518519" style="1" customWidth="1"/>
    <col min="1287" max="1288" width="27.1388888888889" style="1" customWidth="1"/>
    <col min="1289" max="1289" width="20.1388888888889" style="1" customWidth="1"/>
    <col min="1290" max="1291" width="18.287037037037" style="1" customWidth="1"/>
    <col min="1292" max="1292" width="24" style="1" customWidth="1"/>
    <col min="1293" max="1294" width="9.71296296296296" style="1" customWidth="1"/>
    <col min="1295" max="1296" width="11" style="1" hidden="1" customWidth="1"/>
    <col min="1297" max="1297" width="10.712962962963" style="1" customWidth="1"/>
    <col min="1298" max="1536" width="11.4259259259259" style="1"/>
    <col min="1537" max="1537" width="4.71296296296296" style="1" customWidth="1"/>
    <col min="1538" max="1538" width="3.71296296296296" style="1" customWidth="1"/>
    <col min="1539" max="1540" width="17.712962962963" style="1" customWidth="1"/>
    <col min="1541" max="1541" width="43.5740740740741" style="1" customWidth="1"/>
    <col min="1542" max="1542" width="12.8518518518519" style="1" customWidth="1"/>
    <col min="1543" max="1544" width="27.1388888888889" style="1" customWidth="1"/>
    <col min="1545" max="1545" width="20.1388888888889" style="1" customWidth="1"/>
    <col min="1546" max="1547" width="18.287037037037" style="1" customWidth="1"/>
    <col min="1548" max="1548" width="24" style="1" customWidth="1"/>
    <col min="1549" max="1550" width="9.71296296296296" style="1" customWidth="1"/>
    <col min="1551" max="1552" width="11" style="1" hidden="1" customWidth="1"/>
    <col min="1553" max="1553" width="10.712962962963" style="1" customWidth="1"/>
    <col min="1554" max="1792" width="11.4259259259259" style="1"/>
    <col min="1793" max="1793" width="4.71296296296296" style="1" customWidth="1"/>
    <col min="1794" max="1794" width="3.71296296296296" style="1" customWidth="1"/>
    <col min="1795" max="1796" width="17.712962962963" style="1" customWidth="1"/>
    <col min="1797" max="1797" width="43.5740740740741" style="1" customWidth="1"/>
    <col min="1798" max="1798" width="12.8518518518519" style="1" customWidth="1"/>
    <col min="1799" max="1800" width="27.1388888888889" style="1" customWidth="1"/>
    <col min="1801" max="1801" width="20.1388888888889" style="1" customWidth="1"/>
    <col min="1802" max="1803" width="18.287037037037" style="1" customWidth="1"/>
    <col min="1804" max="1804" width="24" style="1" customWidth="1"/>
    <col min="1805" max="1806" width="9.71296296296296" style="1" customWidth="1"/>
    <col min="1807" max="1808" width="11" style="1" hidden="1" customWidth="1"/>
    <col min="1809" max="1809" width="10.712962962963" style="1" customWidth="1"/>
    <col min="1810" max="2048" width="11.4259259259259" style="1"/>
    <col min="2049" max="2049" width="4.71296296296296" style="1" customWidth="1"/>
    <col min="2050" max="2050" width="3.71296296296296" style="1" customWidth="1"/>
    <col min="2051" max="2052" width="17.712962962963" style="1" customWidth="1"/>
    <col min="2053" max="2053" width="43.5740740740741" style="1" customWidth="1"/>
    <col min="2054" max="2054" width="12.8518518518519" style="1" customWidth="1"/>
    <col min="2055" max="2056" width="27.1388888888889" style="1" customWidth="1"/>
    <col min="2057" max="2057" width="20.1388888888889" style="1" customWidth="1"/>
    <col min="2058" max="2059" width="18.287037037037" style="1" customWidth="1"/>
    <col min="2060" max="2060" width="24" style="1" customWidth="1"/>
    <col min="2061" max="2062" width="9.71296296296296" style="1" customWidth="1"/>
    <col min="2063" max="2064" width="11" style="1" hidden="1" customWidth="1"/>
    <col min="2065" max="2065" width="10.712962962963" style="1" customWidth="1"/>
    <col min="2066" max="2304" width="11.4259259259259" style="1"/>
    <col min="2305" max="2305" width="4.71296296296296" style="1" customWidth="1"/>
    <col min="2306" max="2306" width="3.71296296296296" style="1" customWidth="1"/>
    <col min="2307" max="2308" width="17.712962962963" style="1" customWidth="1"/>
    <col min="2309" max="2309" width="43.5740740740741" style="1" customWidth="1"/>
    <col min="2310" max="2310" width="12.8518518518519" style="1" customWidth="1"/>
    <col min="2311" max="2312" width="27.1388888888889" style="1" customWidth="1"/>
    <col min="2313" max="2313" width="20.1388888888889" style="1" customWidth="1"/>
    <col min="2314" max="2315" width="18.287037037037" style="1" customWidth="1"/>
    <col min="2316" max="2316" width="24" style="1" customWidth="1"/>
    <col min="2317" max="2318" width="9.71296296296296" style="1" customWidth="1"/>
    <col min="2319" max="2320" width="11" style="1" hidden="1" customWidth="1"/>
    <col min="2321" max="2321" width="10.712962962963" style="1" customWidth="1"/>
    <col min="2322" max="2560" width="11.4259259259259" style="1"/>
    <col min="2561" max="2561" width="4.71296296296296" style="1" customWidth="1"/>
    <col min="2562" max="2562" width="3.71296296296296" style="1" customWidth="1"/>
    <col min="2563" max="2564" width="17.712962962963" style="1" customWidth="1"/>
    <col min="2565" max="2565" width="43.5740740740741" style="1" customWidth="1"/>
    <col min="2566" max="2566" width="12.8518518518519" style="1" customWidth="1"/>
    <col min="2567" max="2568" width="27.1388888888889" style="1" customWidth="1"/>
    <col min="2569" max="2569" width="20.1388888888889" style="1" customWidth="1"/>
    <col min="2570" max="2571" width="18.287037037037" style="1" customWidth="1"/>
    <col min="2572" max="2572" width="24" style="1" customWidth="1"/>
    <col min="2573" max="2574" width="9.71296296296296" style="1" customWidth="1"/>
    <col min="2575" max="2576" width="11" style="1" hidden="1" customWidth="1"/>
    <col min="2577" max="2577" width="10.712962962963" style="1" customWidth="1"/>
    <col min="2578" max="2816" width="11.4259259259259" style="1"/>
    <col min="2817" max="2817" width="4.71296296296296" style="1" customWidth="1"/>
    <col min="2818" max="2818" width="3.71296296296296" style="1" customWidth="1"/>
    <col min="2819" max="2820" width="17.712962962963" style="1" customWidth="1"/>
    <col min="2821" max="2821" width="43.5740740740741" style="1" customWidth="1"/>
    <col min="2822" max="2822" width="12.8518518518519" style="1" customWidth="1"/>
    <col min="2823" max="2824" width="27.1388888888889" style="1" customWidth="1"/>
    <col min="2825" max="2825" width="20.1388888888889" style="1" customWidth="1"/>
    <col min="2826" max="2827" width="18.287037037037" style="1" customWidth="1"/>
    <col min="2828" max="2828" width="24" style="1" customWidth="1"/>
    <col min="2829" max="2830" width="9.71296296296296" style="1" customWidth="1"/>
    <col min="2831" max="2832" width="11" style="1" hidden="1" customWidth="1"/>
    <col min="2833" max="2833" width="10.712962962963" style="1" customWidth="1"/>
    <col min="2834" max="3072" width="11.4259259259259" style="1"/>
    <col min="3073" max="3073" width="4.71296296296296" style="1" customWidth="1"/>
    <col min="3074" max="3074" width="3.71296296296296" style="1" customWidth="1"/>
    <col min="3075" max="3076" width="17.712962962963" style="1" customWidth="1"/>
    <col min="3077" max="3077" width="43.5740740740741" style="1" customWidth="1"/>
    <col min="3078" max="3078" width="12.8518518518519" style="1" customWidth="1"/>
    <col min="3079" max="3080" width="27.1388888888889" style="1" customWidth="1"/>
    <col min="3081" max="3081" width="20.1388888888889" style="1" customWidth="1"/>
    <col min="3082" max="3083" width="18.287037037037" style="1" customWidth="1"/>
    <col min="3084" max="3084" width="24" style="1" customWidth="1"/>
    <col min="3085" max="3086" width="9.71296296296296" style="1" customWidth="1"/>
    <col min="3087" max="3088" width="11" style="1" hidden="1" customWidth="1"/>
    <col min="3089" max="3089" width="10.712962962963" style="1" customWidth="1"/>
    <col min="3090" max="3328" width="11.4259259259259" style="1"/>
    <col min="3329" max="3329" width="4.71296296296296" style="1" customWidth="1"/>
    <col min="3330" max="3330" width="3.71296296296296" style="1" customWidth="1"/>
    <col min="3331" max="3332" width="17.712962962963" style="1" customWidth="1"/>
    <col min="3333" max="3333" width="43.5740740740741" style="1" customWidth="1"/>
    <col min="3334" max="3334" width="12.8518518518519" style="1" customWidth="1"/>
    <col min="3335" max="3336" width="27.1388888888889" style="1" customWidth="1"/>
    <col min="3337" max="3337" width="20.1388888888889" style="1" customWidth="1"/>
    <col min="3338" max="3339" width="18.287037037037" style="1" customWidth="1"/>
    <col min="3340" max="3340" width="24" style="1" customWidth="1"/>
    <col min="3341" max="3342" width="9.71296296296296" style="1" customWidth="1"/>
    <col min="3343" max="3344" width="11" style="1" hidden="1" customWidth="1"/>
    <col min="3345" max="3345" width="10.712962962963" style="1" customWidth="1"/>
    <col min="3346" max="3584" width="11.4259259259259" style="1"/>
    <col min="3585" max="3585" width="4.71296296296296" style="1" customWidth="1"/>
    <col min="3586" max="3586" width="3.71296296296296" style="1" customWidth="1"/>
    <col min="3587" max="3588" width="17.712962962963" style="1" customWidth="1"/>
    <col min="3589" max="3589" width="43.5740740740741" style="1" customWidth="1"/>
    <col min="3590" max="3590" width="12.8518518518519" style="1" customWidth="1"/>
    <col min="3591" max="3592" width="27.1388888888889" style="1" customWidth="1"/>
    <col min="3593" max="3593" width="20.1388888888889" style="1" customWidth="1"/>
    <col min="3594" max="3595" width="18.287037037037" style="1" customWidth="1"/>
    <col min="3596" max="3596" width="24" style="1" customWidth="1"/>
    <col min="3597" max="3598" width="9.71296296296296" style="1" customWidth="1"/>
    <col min="3599" max="3600" width="11" style="1" hidden="1" customWidth="1"/>
    <col min="3601" max="3601" width="10.712962962963" style="1" customWidth="1"/>
    <col min="3602" max="3840" width="11.4259259259259" style="1"/>
    <col min="3841" max="3841" width="4.71296296296296" style="1" customWidth="1"/>
    <col min="3842" max="3842" width="3.71296296296296" style="1" customWidth="1"/>
    <col min="3843" max="3844" width="17.712962962963" style="1" customWidth="1"/>
    <col min="3845" max="3845" width="43.5740740740741" style="1" customWidth="1"/>
    <col min="3846" max="3846" width="12.8518518518519" style="1" customWidth="1"/>
    <col min="3847" max="3848" width="27.1388888888889" style="1" customWidth="1"/>
    <col min="3849" max="3849" width="20.1388888888889" style="1" customWidth="1"/>
    <col min="3850" max="3851" width="18.287037037037" style="1" customWidth="1"/>
    <col min="3852" max="3852" width="24" style="1" customWidth="1"/>
    <col min="3853" max="3854" width="9.71296296296296" style="1" customWidth="1"/>
    <col min="3855" max="3856" width="11" style="1" hidden="1" customWidth="1"/>
    <col min="3857" max="3857" width="10.712962962963" style="1" customWidth="1"/>
    <col min="3858" max="4096" width="11.4259259259259" style="1"/>
    <col min="4097" max="4097" width="4.71296296296296" style="1" customWidth="1"/>
    <col min="4098" max="4098" width="3.71296296296296" style="1" customWidth="1"/>
    <col min="4099" max="4100" width="17.712962962963" style="1" customWidth="1"/>
    <col min="4101" max="4101" width="43.5740740740741" style="1" customWidth="1"/>
    <col min="4102" max="4102" width="12.8518518518519" style="1" customWidth="1"/>
    <col min="4103" max="4104" width="27.1388888888889" style="1" customWidth="1"/>
    <col min="4105" max="4105" width="20.1388888888889" style="1" customWidth="1"/>
    <col min="4106" max="4107" width="18.287037037037" style="1" customWidth="1"/>
    <col min="4108" max="4108" width="24" style="1" customWidth="1"/>
    <col min="4109" max="4110" width="9.71296296296296" style="1" customWidth="1"/>
    <col min="4111" max="4112" width="11" style="1" hidden="1" customWidth="1"/>
    <col min="4113" max="4113" width="10.712962962963" style="1" customWidth="1"/>
    <col min="4114" max="4352" width="11.4259259259259" style="1"/>
    <col min="4353" max="4353" width="4.71296296296296" style="1" customWidth="1"/>
    <col min="4354" max="4354" width="3.71296296296296" style="1" customWidth="1"/>
    <col min="4355" max="4356" width="17.712962962963" style="1" customWidth="1"/>
    <col min="4357" max="4357" width="43.5740740740741" style="1" customWidth="1"/>
    <col min="4358" max="4358" width="12.8518518518519" style="1" customWidth="1"/>
    <col min="4359" max="4360" width="27.1388888888889" style="1" customWidth="1"/>
    <col min="4361" max="4361" width="20.1388888888889" style="1" customWidth="1"/>
    <col min="4362" max="4363" width="18.287037037037" style="1" customWidth="1"/>
    <col min="4364" max="4364" width="24" style="1" customWidth="1"/>
    <col min="4365" max="4366" width="9.71296296296296" style="1" customWidth="1"/>
    <col min="4367" max="4368" width="11" style="1" hidden="1" customWidth="1"/>
    <col min="4369" max="4369" width="10.712962962963" style="1" customWidth="1"/>
    <col min="4370" max="4608" width="11.4259259259259" style="1"/>
    <col min="4609" max="4609" width="4.71296296296296" style="1" customWidth="1"/>
    <col min="4610" max="4610" width="3.71296296296296" style="1" customWidth="1"/>
    <col min="4611" max="4612" width="17.712962962963" style="1" customWidth="1"/>
    <col min="4613" max="4613" width="43.5740740740741" style="1" customWidth="1"/>
    <col min="4614" max="4614" width="12.8518518518519" style="1" customWidth="1"/>
    <col min="4615" max="4616" width="27.1388888888889" style="1" customWidth="1"/>
    <col min="4617" max="4617" width="20.1388888888889" style="1" customWidth="1"/>
    <col min="4618" max="4619" width="18.287037037037" style="1" customWidth="1"/>
    <col min="4620" max="4620" width="24" style="1" customWidth="1"/>
    <col min="4621" max="4622" width="9.71296296296296" style="1" customWidth="1"/>
    <col min="4623" max="4624" width="11" style="1" hidden="1" customWidth="1"/>
    <col min="4625" max="4625" width="10.712962962963" style="1" customWidth="1"/>
    <col min="4626" max="4864" width="11.4259259259259" style="1"/>
    <col min="4865" max="4865" width="4.71296296296296" style="1" customWidth="1"/>
    <col min="4866" max="4866" width="3.71296296296296" style="1" customWidth="1"/>
    <col min="4867" max="4868" width="17.712962962963" style="1" customWidth="1"/>
    <col min="4869" max="4869" width="43.5740740740741" style="1" customWidth="1"/>
    <col min="4870" max="4870" width="12.8518518518519" style="1" customWidth="1"/>
    <col min="4871" max="4872" width="27.1388888888889" style="1" customWidth="1"/>
    <col min="4873" max="4873" width="20.1388888888889" style="1" customWidth="1"/>
    <col min="4874" max="4875" width="18.287037037037" style="1" customWidth="1"/>
    <col min="4876" max="4876" width="24" style="1" customWidth="1"/>
    <col min="4877" max="4878" width="9.71296296296296" style="1" customWidth="1"/>
    <col min="4879" max="4880" width="11" style="1" hidden="1" customWidth="1"/>
    <col min="4881" max="4881" width="10.712962962963" style="1" customWidth="1"/>
    <col min="4882" max="5120" width="11.4259259259259" style="1"/>
    <col min="5121" max="5121" width="4.71296296296296" style="1" customWidth="1"/>
    <col min="5122" max="5122" width="3.71296296296296" style="1" customWidth="1"/>
    <col min="5123" max="5124" width="17.712962962963" style="1" customWidth="1"/>
    <col min="5125" max="5125" width="43.5740740740741" style="1" customWidth="1"/>
    <col min="5126" max="5126" width="12.8518518518519" style="1" customWidth="1"/>
    <col min="5127" max="5128" width="27.1388888888889" style="1" customWidth="1"/>
    <col min="5129" max="5129" width="20.1388888888889" style="1" customWidth="1"/>
    <col min="5130" max="5131" width="18.287037037037" style="1" customWidth="1"/>
    <col min="5132" max="5132" width="24" style="1" customWidth="1"/>
    <col min="5133" max="5134" width="9.71296296296296" style="1" customWidth="1"/>
    <col min="5135" max="5136" width="11" style="1" hidden="1" customWidth="1"/>
    <col min="5137" max="5137" width="10.712962962963" style="1" customWidth="1"/>
    <col min="5138" max="5376" width="11.4259259259259" style="1"/>
    <col min="5377" max="5377" width="4.71296296296296" style="1" customWidth="1"/>
    <col min="5378" max="5378" width="3.71296296296296" style="1" customWidth="1"/>
    <col min="5379" max="5380" width="17.712962962963" style="1" customWidth="1"/>
    <col min="5381" max="5381" width="43.5740740740741" style="1" customWidth="1"/>
    <col min="5382" max="5382" width="12.8518518518519" style="1" customWidth="1"/>
    <col min="5383" max="5384" width="27.1388888888889" style="1" customWidth="1"/>
    <col min="5385" max="5385" width="20.1388888888889" style="1" customWidth="1"/>
    <col min="5386" max="5387" width="18.287037037037" style="1" customWidth="1"/>
    <col min="5388" max="5388" width="24" style="1" customWidth="1"/>
    <col min="5389" max="5390" width="9.71296296296296" style="1" customWidth="1"/>
    <col min="5391" max="5392" width="11" style="1" hidden="1" customWidth="1"/>
    <col min="5393" max="5393" width="10.712962962963" style="1" customWidth="1"/>
    <col min="5394" max="5632" width="11.4259259259259" style="1"/>
    <col min="5633" max="5633" width="4.71296296296296" style="1" customWidth="1"/>
    <col min="5634" max="5634" width="3.71296296296296" style="1" customWidth="1"/>
    <col min="5635" max="5636" width="17.712962962963" style="1" customWidth="1"/>
    <col min="5637" max="5637" width="43.5740740740741" style="1" customWidth="1"/>
    <col min="5638" max="5638" width="12.8518518518519" style="1" customWidth="1"/>
    <col min="5639" max="5640" width="27.1388888888889" style="1" customWidth="1"/>
    <col min="5641" max="5641" width="20.1388888888889" style="1" customWidth="1"/>
    <col min="5642" max="5643" width="18.287037037037" style="1" customWidth="1"/>
    <col min="5644" max="5644" width="24" style="1" customWidth="1"/>
    <col min="5645" max="5646" width="9.71296296296296" style="1" customWidth="1"/>
    <col min="5647" max="5648" width="11" style="1" hidden="1" customWidth="1"/>
    <col min="5649" max="5649" width="10.712962962963" style="1" customWidth="1"/>
    <col min="5650" max="5888" width="11.4259259259259" style="1"/>
    <col min="5889" max="5889" width="4.71296296296296" style="1" customWidth="1"/>
    <col min="5890" max="5890" width="3.71296296296296" style="1" customWidth="1"/>
    <col min="5891" max="5892" width="17.712962962963" style="1" customWidth="1"/>
    <col min="5893" max="5893" width="43.5740740740741" style="1" customWidth="1"/>
    <col min="5894" max="5894" width="12.8518518518519" style="1" customWidth="1"/>
    <col min="5895" max="5896" width="27.1388888888889" style="1" customWidth="1"/>
    <col min="5897" max="5897" width="20.1388888888889" style="1" customWidth="1"/>
    <col min="5898" max="5899" width="18.287037037037" style="1" customWidth="1"/>
    <col min="5900" max="5900" width="24" style="1" customWidth="1"/>
    <col min="5901" max="5902" width="9.71296296296296" style="1" customWidth="1"/>
    <col min="5903" max="5904" width="11" style="1" hidden="1" customWidth="1"/>
    <col min="5905" max="5905" width="10.712962962963" style="1" customWidth="1"/>
    <col min="5906" max="6144" width="11.4259259259259" style="1"/>
    <col min="6145" max="6145" width="4.71296296296296" style="1" customWidth="1"/>
    <col min="6146" max="6146" width="3.71296296296296" style="1" customWidth="1"/>
    <col min="6147" max="6148" width="17.712962962963" style="1" customWidth="1"/>
    <col min="6149" max="6149" width="43.5740740740741" style="1" customWidth="1"/>
    <col min="6150" max="6150" width="12.8518518518519" style="1" customWidth="1"/>
    <col min="6151" max="6152" width="27.1388888888889" style="1" customWidth="1"/>
    <col min="6153" max="6153" width="20.1388888888889" style="1" customWidth="1"/>
    <col min="6154" max="6155" width="18.287037037037" style="1" customWidth="1"/>
    <col min="6156" max="6156" width="24" style="1" customWidth="1"/>
    <col min="6157" max="6158" width="9.71296296296296" style="1" customWidth="1"/>
    <col min="6159" max="6160" width="11" style="1" hidden="1" customWidth="1"/>
    <col min="6161" max="6161" width="10.712962962963" style="1" customWidth="1"/>
    <col min="6162" max="6400" width="11.4259259259259" style="1"/>
    <col min="6401" max="6401" width="4.71296296296296" style="1" customWidth="1"/>
    <col min="6402" max="6402" width="3.71296296296296" style="1" customWidth="1"/>
    <col min="6403" max="6404" width="17.712962962963" style="1" customWidth="1"/>
    <col min="6405" max="6405" width="43.5740740740741" style="1" customWidth="1"/>
    <col min="6406" max="6406" width="12.8518518518519" style="1" customWidth="1"/>
    <col min="6407" max="6408" width="27.1388888888889" style="1" customWidth="1"/>
    <col min="6409" max="6409" width="20.1388888888889" style="1" customWidth="1"/>
    <col min="6410" max="6411" width="18.287037037037" style="1" customWidth="1"/>
    <col min="6412" max="6412" width="24" style="1" customWidth="1"/>
    <col min="6413" max="6414" width="9.71296296296296" style="1" customWidth="1"/>
    <col min="6415" max="6416" width="11" style="1" hidden="1" customWidth="1"/>
    <col min="6417" max="6417" width="10.712962962963" style="1" customWidth="1"/>
    <col min="6418" max="6656" width="11.4259259259259" style="1"/>
    <col min="6657" max="6657" width="4.71296296296296" style="1" customWidth="1"/>
    <col min="6658" max="6658" width="3.71296296296296" style="1" customWidth="1"/>
    <col min="6659" max="6660" width="17.712962962963" style="1" customWidth="1"/>
    <col min="6661" max="6661" width="43.5740740740741" style="1" customWidth="1"/>
    <col min="6662" max="6662" width="12.8518518518519" style="1" customWidth="1"/>
    <col min="6663" max="6664" width="27.1388888888889" style="1" customWidth="1"/>
    <col min="6665" max="6665" width="20.1388888888889" style="1" customWidth="1"/>
    <col min="6666" max="6667" width="18.287037037037" style="1" customWidth="1"/>
    <col min="6668" max="6668" width="24" style="1" customWidth="1"/>
    <col min="6669" max="6670" width="9.71296296296296" style="1" customWidth="1"/>
    <col min="6671" max="6672" width="11" style="1" hidden="1" customWidth="1"/>
    <col min="6673" max="6673" width="10.712962962963" style="1" customWidth="1"/>
    <col min="6674" max="6912" width="11.4259259259259" style="1"/>
    <col min="6913" max="6913" width="4.71296296296296" style="1" customWidth="1"/>
    <col min="6914" max="6914" width="3.71296296296296" style="1" customWidth="1"/>
    <col min="6915" max="6916" width="17.712962962963" style="1" customWidth="1"/>
    <col min="6917" max="6917" width="43.5740740740741" style="1" customWidth="1"/>
    <col min="6918" max="6918" width="12.8518518518519" style="1" customWidth="1"/>
    <col min="6919" max="6920" width="27.1388888888889" style="1" customWidth="1"/>
    <col min="6921" max="6921" width="20.1388888888889" style="1" customWidth="1"/>
    <col min="6922" max="6923" width="18.287037037037" style="1" customWidth="1"/>
    <col min="6924" max="6924" width="24" style="1" customWidth="1"/>
    <col min="6925" max="6926" width="9.71296296296296" style="1" customWidth="1"/>
    <col min="6927" max="6928" width="11" style="1" hidden="1" customWidth="1"/>
    <col min="6929" max="6929" width="10.712962962963" style="1" customWidth="1"/>
    <col min="6930" max="7168" width="11.4259259259259" style="1"/>
    <col min="7169" max="7169" width="4.71296296296296" style="1" customWidth="1"/>
    <col min="7170" max="7170" width="3.71296296296296" style="1" customWidth="1"/>
    <col min="7171" max="7172" width="17.712962962963" style="1" customWidth="1"/>
    <col min="7173" max="7173" width="43.5740740740741" style="1" customWidth="1"/>
    <col min="7174" max="7174" width="12.8518518518519" style="1" customWidth="1"/>
    <col min="7175" max="7176" width="27.1388888888889" style="1" customWidth="1"/>
    <col min="7177" max="7177" width="20.1388888888889" style="1" customWidth="1"/>
    <col min="7178" max="7179" width="18.287037037037" style="1" customWidth="1"/>
    <col min="7180" max="7180" width="24" style="1" customWidth="1"/>
    <col min="7181" max="7182" width="9.71296296296296" style="1" customWidth="1"/>
    <col min="7183" max="7184" width="11" style="1" hidden="1" customWidth="1"/>
    <col min="7185" max="7185" width="10.712962962963" style="1" customWidth="1"/>
    <col min="7186" max="7424" width="11.4259259259259" style="1"/>
    <col min="7425" max="7425" width="4.71296296296296" style="1" customWidth="1"/>
    <col min="7426" max="7426" width="3.71296296296296" style="1" customWidth="1"/>
    <col min="7427" max="7428" width="17.712962962963" style="1" customWidth="1"/>
    <col min="7429" max="7429" width="43.5740740740741" style="1" customWidth="1"/>
    <col min="7430" max="7430" width="12.8518518518519" style="1" customWidth="1"/>
    <col min="7431" max="7432" width="27.1388888888889" style="1" customWidth="1"/>
    <col min="7433" max="7433" width="20.1388888888889" style="1" customWidth="1"/>
    <col min="7434" max="7435" width="18.287037037037" style="1" customWidth="1"/>
    <col min="7436" max="7436" width="24" style="1" customWidth="1"/>
    <col min="7437" max="7438" width="9.71296296296296" style="1" customWidth="1"/>
    <col min="7439" max="7440" width="11" style="1" hidden="1" customWidth="1"/>
    <col min="7441" max="7441" width="10.712962962963" style="1" customWidth="1"/>
    <col min="7442" max="7680" width="11.4259259259259" style="1"/>
    <col min="7681" max="7681" width="4.71296296296296" style="1" customWidth="1"/>
    <col min="7682" max="7682" width="3.71296296296296" style="1" customWidth="1"/>
    <col min="7683" max="7684" width="17.712962962963" style="1" customWidth="1"/>
    <col min="7685" max="7685" width="43.5740740740741" style="1" customWidth="1"/>
    <col min="7686" max="7686" width="12.8518518518519" style="1" customWidth="1"/>
    <col min="7687" max="7688" width="27.1388888888889" style="1" customWidth="1"/>
    <col min="7689" max="7689" width="20.1388888888889" style="1" customWidth="1"/>
    <col min="7690" max="7691" width="18.287037037037" style="1" customWidth="1"/>
    <col min="7692" max="7692" width="24" style="1" customWidth="1"/>
    <col min="7693" max="7694" width="9.71296296296296" style="1" customWidth="1"/>
    <col min="7695" max="7696" width="11" style="1" hidden="1" customWidth="1"/>
    <col min="7697" max="7697" width="10.712962962963" style="1" customWidth="1"/>
    <col min="7698" max="7936" width="11.4259259259259" style="1"/>
    <col min="7937" max="7937" width="4.71296296296296" style="1" customWidth="1"/>
    <col min="7938" max="7938" width="3.71296296296296" style="1" customWidth="1"/>
    <col min="7939" max="7940" width="17.712962962963" style="1" customWidth="1"/>
    <col min="7941" max="7941" width="43.5740740740741" style="1" customWidth="1"/>
    <col min="7942" max="7942" width="12.8518518518519" style="1" customWidth="1"/>
    <col min="7943" max="7944" width="27.1388888888889" style="1" customWidth="1"/>
    <col min="7945" max="7945" width="20.1388888888889" style="1" customWidth="1"/>
    <col min="7946" max="7947" width="18.287037037037" style="1" customWidth="1"/>
    <col min="7948" max="7948" width="24" style="1" customWidth="1"/>
    <col min="7949" max="7950" width="9.71296296296296" style="1" customWidth="1"/>
    <col min="7951" max="7952" width="11" style="1" hidden="1" customWidth="1"/>
    <col min="7953" max="7953" width="10.712962962963" style="1" customWidth="1"/>
    <col min="7954" max="8192" width="11.4259259259259" style="1"/>
    <col min="8193" max="8193" width="4.71296296296296" style="1" customWidth="1"/>
    <col min="8194" max="8194" width="3.71296296296296" style="1" customWidth="1"/>
    <col min="8195" max="8196" width="17.712962962963" style="1" customWidth="1"/>
    <col min="8197" max="8197" width="43.5740740740741" style="1" customWidth="1"/>
    <col min="8198" max="8198" width="12.8518518518519" style="1" customWidth="1"/>
    <col min="8199" max="8200" width="27.1388888888889" style="1" customWidth="1"/>
    <col min="8201" max="8201" width="20.1388888888889" style="1" customWidth="1"/>
    <col min="8202" max="8203" width="18.287037037037" style="1" customWidth="1"/>
    <col min="8204" max="8204" width="24" style="1" customWidth="1"/>
    <col min="8205" max="8206" width="9.71296296296296" style="1" customWidth="1"/>
    <col min="8207" max="8208" width="11" style="1" hidden="1" customWidth="1"/>
    <col min="8209" max="8209" width="10.712962962963" style="1" customWidth="1"/>
    <col min="8210" max="8448" width="11.4259259259259" style="1"/>
    <col min="8449" max="8449" width="4.71296296296296" style="1" customWidth="1"/>
    <col min="8450" max="8450" width="3.71296296296296" style="1" customWidth="1"/>
    <col min="8451" max="8452" width="17.712962962963" style="1" customWidth="1"/>
    <col min="8453" max="8453" width="43.5740740740741" style="1" customWidth="1"/>
    <col min="8454" max="8454" width="12.8518518518519" style="1" customWidth="1"/>
    <col min="8455" max="8456" width="27.1388888888889" style="1" customWidth="1"/>
    <col min="8457" max="8457" width="20.1388888888889" style="1" customWidth="1"/>
    <col min="8458" max="8459" width="18.287037037037" style="1" customWidth="1"/>
    <col min="8460" max="8460" width="24" style="1" customWidth="1"/>
    <col min="8461" max="8462" width="9.71296296296296" style="1" customWidth="1"/>
    <col min="8463" max="8464" width="11" style="1" hidden="1" customWidth="1"/>
    <col min="8465" max="8465" width="10.712962962963" style="1" customWidth="1"/>
    <col min="8466" max="8704" width="11.4259259259259" style="1"/>
    <col min="8705" max="8705" width="4.71296296296296" style="1" customWidth="1"/>
    <col min="8706" max="8706" width="3.71296296296296" style="1" customWidth="1"/>
    <col min="8707" max="8708" width="17.712962962963" style="1" customWidth="1"/>
    <col min="8709" max="8709" width="43.5740740740741" style="1" customWidth="1"/>
    <col min="8710" max="8710" width="12.8518518518519" style="1" customWidth="1"/>
    <col min="8711" max="8712" width="27.1388888888889" style="1" customWidth="1"/>
    <col min="8713" max="8713" width="20.1388888888889" style="1" customWidth="1"/>
    <col min="8714" max="8715" width="18.287037037037" style="1" customWidth="1"/>
    <col min="8716" max="8716" width="24" style="1" customWidth="1"/>
    <col min="8717" max="8718" width="9.71296296296296" style="1" customWidth="1"/>
    <col min="8719" max="8720" width="11" style="1" hidden="1" customWidth="1"/>
    <col min="8721" max="8721" width="10.712962962963" style="1" customWidth="1"/>
    <col min="8722" max="8960" width="11.4259259259259" style="1"/>
    <col min="8961" max="8961" width="4.71296296296296" style="1" customWidth="1"/>
    <col min="8962" max="8962" width="3.71296296296296" style="1" customWidth="1"/>
    <col min="8963" max="8964" width="17.712962962963" style="1" customWidth="1"/>
    <col min="8965" max="8965" width="43.5740740740741" style="1" customWidth="1"/>
    <col min="8966" max="8966" width="12.8518518518519" style="1" customWidth="1"/>
    <col min="8967" max="8968" width="27.1388888888889" style="1" customWidth="1"/>
    <col min="8969" max="8969" width="20.1388888888889" style="1" customWidth="1"/>
    <col min="8970" max="8971" width="18.287037037037" style="1" customWidth="1"/>
    <col min="8972" max="8972" width="24" style="1" customWidth="1"/>
    <col min="8973" max="8974" width="9.71296296296296" style="1" customWidth="1"/>
    <col min="8975" max="8976" width="11" style="1" hidden="1" customWidth="1"/>
    <col min="8977" max="8977" width="10.712962962963" style="1" customWidth="1"/>
    <col min="8978" max="9216" width="11.4259259259259" style="1"/>
    <col min="9217" max="9217" width="4.71296296296296" style="1" customWidth="1"/>
    <col min="9218" max="9218" width="3.71296296296296" style="1" customWidth="1"/>
    <col min="9219" max="9220" width="17.712962962963" style="1" customWidth="1"/>
    <col min="9221" max="9221" width="43.5740740740741" style="1" customWidth="1"/>
    <col min="9222" max="9222" width="12.8518518518519" style="1" customWidth="1"/>
    <col min="9223" max="9224" width="27.1388888888889" style="1" customWidth="1"/>
    <col min="9225" max="9225" width="20.1388888888889" style="1" customWidth="1"/>
    <col min="9226" max="9227" width="18.287037037037" style="1" customWidth="1"/>
    <col min="9228" max="9228" width="24" style="1" customWidth="1"/>
    <col min="9229" max="9230" width="9.71296296296296" style="1" customWidth="1"/>
    <col min="9231" max="9232" width="11" style="1" hidden="1" customWidth="1"/>
    <col min="9233" max="9233" width="10.712962962963" style="1" customWidth="1"/>
    <col min="9234" max="9472" width="11.4259259259259" style="1"/>
    <col min="9473" max="9473" width="4.71296296296296" style="1" customWidth="1"/>
    <col min="9474" max="9474" width="3.71296296296296" style="1" customWidth="1"/>
    <col min="9475" max="9476" width="17.712962962963" style="1" customWidth="1"/>
    <col min="9477" max="9477" width="43.5740740740741" style="1" customWidth="1"/>
    <col min="9478" max="9478" width="12.8518518518519" style="1" customWidth="1"/>
    <col min="9479" max="9480" width="27.1388888888889" style="1" customWidth="1"/>
    <col min="9481" max="9481" width="20.1388888888889" style="1" customWidth="1"/>
    <col min="9482" max="9483" width="18.287037037037" style="1" customWidth="1"/>
    <col min="9484" max="9484" width="24" style="1" customWidth="1"/>
    <col min="9485" max="9486" width="9.71296296296296" style="1" customWidth="1"/>
    <col min="9487" max="9488" width="11" style="1" hidden="1" customWidth="1"/>
    <col min="9489" max="9489" width="10.712962962963" style="1" customWidth="1"/>
    <col min="9490" max="9728" width="11.4259259259259" style="1"/>
    <col min="9729" max="9729" width="4.71296296296296" style="1" customWidth="1"/>
    <col min="9730" max="9730" width="3.71296296296296" style="1" customWidth="1"/>
    <col min="9731" max="9732" width="17.712962962963" style="1" customWidth="1"/>
    <col min="9733" max="9733" width="43.5740740740741" style="1" customWidth="1"/>
    <col min="9734" max="9734" width="12.8518518518519" style="1" customWidth="1"/>
    <col min="9735" max="9736" width="27.1388888888889" style="1" customWidth="1"/>
    <col min="9737" max="9737" width="20.1388888888889" style="1" customWidth="1"/>
    <col min="9738" max="9739" width="18.287037037037" style="1" customWidth="1"/>
    <col min="9740" max="9740" width="24" style="1" customWidth="1"/>
    <col min="9741" max="9742" width="9.71296296296296" style="1" customWidth="1"/>
    <col min="9743" max="9744" width="11" style="1" hidden="1" customWidth="1"/>
    <col min="9745" max="9745" width="10.712962962963" style="1" customWidth="1"/>
    <col min="9746" max="9984" width="11.4259259259259" style="1"/>
    <col min="9985" max="9985" width="4.71296296296296" style="1" customWidth="1"/>
    <col min="9986" max="9986" width="3.71296296296296" style="1" customWidth="1"/>
    <col min="9987" max="9988" width="17.712962962963" style="1" customWidth="1"/>
    <col min="9989" max="9989" width="43.5740740740741" style="1" customWidth="1"/>
    <col min="9990" max="9990" width="12.8518518518519" style="1" customWidth="1"/>
    <col min="9991" max="9992" width="27.1388888888889" style="1" customWidth="1"/>
    <col min="9993" max="9993" width="20.1388888888889" style="1" customWidth="1"/>
    <col min="9994" max="9995" width="18.287037037037" style="1" customWidth="1"/>
    <col min="9996" max="9996" width="24" style="1" customWidth="1"/>
    <col min="9997" max="9998" width="9.71296296296296" style="1" customWidth="1"/>
    <col min="9999" max="10000" width="11" style="1" hidden="1" customWidth="1"/>
    <col min="10001" max="10001" width="10.712962962963" style="1" customWidth="1"/>
    <col min="10002" max="10240" width="11.4259259259259" style="1"/>
    <col min="10241" max="10241" width="4.71296296296296" style="1" customWidth="1"/>
    <col min="10242" max="10242" width="3.71296296296296" style="1" customWidth="1"/>
    <col min="10243" max="10244" width="17.712962962963" style="1" customWidth="1"/>
    <col min="10245" max="10245" width="43.5740740740741" style="1" customWidth="1"/>
    <col min="10246" max="10246" width="12.8518518518519" style="1" customWidth="1"/>
    <col min="10247" max="10248" width="27.1388888888889" style="1" customWidth="1"/>
    <col min="10249" max="10249" width="20.1388888888889" style="1" customWidth="1"/>
    <col min="10250" max="10251" width="18.287037037037" style="1" customWidth="1"/>
    <col min="10252" max="10252" width="24" style="1" customWidth="1"/>
    <col min="10253" max="10254" width="9.71296296296296" style="1" customWidth="1"/>
    <col min="10255" max="10256" width="11" style="1" hidden="1" customWidth="1"/>
    <col min="10257" max="10257" width="10.712962962963" style="1" customWidth="1"/>
    <col min="10258" max="10496" width="11.4259259259259" style="1"/>
    <col min="10497" max="10497" width="4.71296296296296" style="1" customWidth="1"/>
    <col min="10498" max="10498" width="3.71296296296296" style="1" customWidth="1"/>
    <col min="10499" max="10500" width="17.712962962963" style="1" customWidth="1"/>
    <col min="10501" max="10501" width="43.5740740740741" style="1" customWidth="1"/>
    <col min="10502" max="10502" width="12.8518518518519" style="1" customWidth="1"/>
    <col min="10503" max="10504" width="27.1388888888889" style="1" customWidth="1"/>
    <col min="10505" max="10505" width="20.1388888888889" style="1" customWidth="1"/>
    <col min="10506" max="10507" width="18.287037037037" style="1" customWidth="1"/>
    <col min="10508" max="10508" width="24" style="1" customWidth="1"/>
    <col min="10509" max="10510" width="9.71296296296296" style="1" customWidth="1"/>
    <col min="10511" max="10512" width="11" style="1" hidden="1" customWidth="1"/>
    <col min="10513" max="10513" width="10.712962962963" style="1" customWidth="1"/>
    <col min="10514" max="10752" width="11.4259259259259" style="1"/>
    <col min="10753" max="10753" width="4.71296296296296" style="1" customWidth="1"/>
    <col min="10754" max="10754" width="3.71296296296296" style="1" customWidth="1"/>
    <col min="10755" max="10756" width="17.712962962963" style="1" customWidth="1"/>
    <col min="10757" max="10757" width="43.5740740740741" style="1" customWidth="1"/>
    <col min="10758" max="10758" width="12.8518518518519" style="1" customWidth="1"/>
    <col min="10759" max="10760" width="27.1388888888889" style="1" customWidth="1"/>
    <col min="10761" max="10761" width="20.1388888888889" style="1" customWidth="1"/>
    <col min="10762" max="10763" width="18.287037037037" style="1" customWidth="1"/>
    <col min="10764" max="10764" width="24" style="1" customWidth="1"/>
    <col min="10765" max="10766" width="9.71296296296296" style="1" customWidth="1"/>
    <col min="10767" max="10768" width="11" style="1" hidden="1" customWidth="1"/>
    <col min="10769" max="10769" width="10.712962962963" style="1" customWidth="1"/>
    <col min="10770" max="11008" width="11.4259259259259" style="1"/>
    <col min="11009" max="11009" width="4.71296296296296" style="1" customWidth="1"/>
    <col min="11010" max="11010" width="3.71296296296296" style="1" customWidth="1"/>
    <col min="11011" max="11012" width="17.712962962963" style="1" customWidth="1"/>
    <col min="11013" max="11013" width="43.5740740740741" style="1" customWidth="1"/>
    <col min="11014" max="11014" width="12.8518518518519" style="1" customWidth="1"/>
    <col min="11015" max="11016" width="27.1388888888889" style="1" customWidth="1"/>
    <col min="11017" max="11017" width="20.1388888888889" style="1" customWidth="1"/>
    <col min="11018" max="11019" width="18.287037037037" style="1" customWidth="1"/>
    <col min="11020" max="11020" width="24" style="1" customWidth="1"/>
    <col min="11021" max="11022" width="9.71296296296296" style="1" customWidth="1"/>
    <col min="11023" max="11024" width="11" style="1" hidden="1" customWidth="1"/>
    <col min="11025" max="11025" width="10.712962962963" style="1" customWidth="1"/>
    <col min="11026" max="11264" width="11.4259259259259" style="1"/>
    <col min="11265" max="11265" width="4.71296296296296" style="1" customWidth="1"/>
    <col min="11266" max="11266" width="3.71296296296296" style="1" customWidth="1"/>
    <col min="11267" max="11268" width="17.712962962963" style="1" customWidth="1"/>
    <col min="11269" max="11269" width="43.5740740740741" style="1" customWidth="1"/>
    <col min="11270" max="11270" width="12.8518518518519" style="1" customWidth="1"/>
    <col min="11271" max="11272" width="27.1388888888889" style="1" customWidth="1"/>
    <col min="11273" max="11273" width="20.1388888888889" style="1" customWidth="1"/>
    <col min="11274" max="11275" width="18.287037037037" style="1" customWidth="1"/>
    <col min="11276" max="11276" width="24" style="1" customWidth="1"/>
    <col min="11277" max="11278" width="9.71296296296296" style="1" customWidth="1"/>
    <col min="11279" max="11280" width="11" style="1" hidden="1" customWidth="1"/>
    <col min="11281" max="11281" width="10.712962962963" style="1" customWidth="1"/>
    <col min="11282" max="11520" width="11.4259259259259" style="1"/>
    <col min="11521" max="11521" width="4.71296296296296" style="1" customWidth="1"/>
    <col min="11522" max="11522" width="3.71296296296296" style="1" customWidth="1"/>
    <col min="11523" max="11524" width="17.712962962963" style="1" customWidth="1"/>
    <col min="11525" max="11525" width="43.5740740740741" style="1" customWidth="1"/>
    <col min="11526" max="11526" width="12.8518518518519" style="1" customWidth="1"/>
    <col min="11527" max="11528" width="27.1388888888889" style="1" customWidth="1"/>
    <col min="11529" max="11529" width="20.1388888888889" style="1" customWidth="1"/>
    <col min="11530" max="11531" width="18.287037037037" style="1" customWidth="1"/>
    <col min="11532" max="11532" width="24" style="1" customWidth="1"/>
    <col min="11533" max="11534" width="9.71296296296296" style="1" customWidth="1"/>
    <col min="11535" max="11536" width="11" style="1" hidden="1" customWidth="1"/>
    <col min="11537" max="11537" width="10.712962962963" style="1" customWidth="1"/>
    <col min="11538" max="11776" width="11.4259259259259" style="1"/>
    <col min="11777" max="11777" width="4.71296296296296" style="1" customWidth="1"/>
    <col min="11778" max="11778" width="3.71296296296296" style="1" customWidth="1"/>
    <col min="11779" max="11780" width="17.712962962963" style="1" customWidth="1"/>
    <col min="11781" max="11781" width="43.5740740740741" style="1" customWidth="1"/>
    <col min="11782" max="11782" width="12.8518518518519" style="1" customWidth="1"/>
    <col min="11783" max="11784" width="27.1388888888889" style="1" customWidth="1"/>
    <col min="11785" max="11785" width="20.1388888888889" style="1" customWidth="1"/>
    <col min="11786" max="11787" width="18.287037037037" style="1" customWidth="1"/>
    <col min="11788" max="11788" width="24" style="1" customWidth="1"/>
    <col min="11789" max="11790" width="9.71296296296296" style="1" customWidth="1"/>
    <col min="11791" max="11792" width="11" style="1" hidden="1" customWidth="1"/>
    <col min="11793" max="11793" width="10.712962962963" style="1" customWidth="1"/>
    <col min="11794" max="12032" width="11.4259259259259" style="1"/>
    <col min="12033" max="12033" width="4.71296296296296" style="1" customWidth="1"/>
    <col min="12034" max="12034" width="3.71296296296296" style="1" customWidth="1"/>
    <col min="12035" max="12036" width="17.712962962963" style="1" customWidth="1"/>
    <col min="12037" max="12037" width="43.5740740740741" style="1" customWidth="1"/>
    <col min="12038" max="12038" width="12.8518518518519" style="1" customWidth="1"/>
    <col min="12039" max="12040" width="27.1388888888889" style="1" customWidth="1"/>
    <col min="12041" max="12041" width="20.1388888888889" style="1" customWidth="1"/>
    <col min="12042" max="12043" width="18.287037037037" style="1" customWidth="1"/>
    <col min="12044" max="12044" width="24" style="1" customWidth="1"/>
    <col min="12045" max="12046" width="9.71296296296296" style="1" customWidth="1"/>
    <col min="12047" max="12048" width="11" style="1" hidden="1" customWidth="1"/>
    <col min="12049" max="12049" width="10.712962962963" style="1" customWidth="1"/>
    <col min="12050" max="12288" width="11.4259259259259" style="1"/>
    <col min="12289" max="12289" width="4.71296296296296" style="1" customWidth="1"/>
    <col min="12290" max="12290" width="3.71296296296296" style="1" customWidth="1"/>
    <col min="12291" max="12292" width="17.712962962963" style="1" customWidth="1"/>
    <col min="12293" max="12293" width="43.5740740740741" style="1" customWidth="1"/>
    <col min="12294" max="12294" width="12.8518518518519" style="1" customWidth="1"/>
    <col min="12295" max="12296" width="27.1388888888889" style="1" customWidth="1"/>
    <col min="12297" max="12297" width="20.1388888888889" style="1" customWidth="1"/>
    <col min="12298" max="12299" width="18.287037037037" style="1" customWidth="1"/>
    <col min="12300" max="12300" width="24" style="1" customWidth="1"/>
    <col min="12301" max="12302" width="9.71296296296296" style="1" customWidth="1"/>
    <col min="12303" max="12304" width="11" style="1" hidden="1" customWidth="1"/>
    <col min="12305" max="12305" width="10.712962962963" style="1" customWidth="1"/>
    <col min="12306" max="12544" width="11.4259259259259" style="1"/>
    <col min="12545" max="12545" width="4.71296296296296" style="1" customWidth="1"/>
    <col min="12546" max="12546" width="3.71296296296296" style="1" customWidth="1"/>
    <col min="12547" max="12548" width="17.712962962963" style="1" customWidth="1"/>
    <col min="12549" max="12549" width="43.5740740740741" style="1" customWidth="1"/>
    <col min="12550" max="12550" width="12.8518518518519" style="1" customWidth="1"/>
    <col min="12551" max="12552" width="27.1388888888889" style="1" customWidth="1"/>
    <col min="12553" max="12553" width="20.1388888888889" style="1" customWidth="1"/>
    <col min="12554" max="12555" width="18.287037037037" style="1" customWidth="1"/>
    <col min="12556" max="12556" width="24" style="1" customWidth="1"/>
    <col min="12557" max="12558" width="9.71296296296296" style="1" customWidth="1"/>
    <col min="12559" max="12560" width="11" style="1" hidden="1" customWidth="1"/>
    <col min="12561" max="12561" width="10.712962962963" style="1" customWidth="1"/>
    <col min="12562" max="12800" width="11.4259259259259" style="1"/>
    <col min="12801" max="12801" width="4.71296296296296" style="1" customWidth="1"/>
    <col min="12802" max="12802" width="3.71296296296296" style="1" customWidth="1"/>
    <col min="12803" max="12804" width="17.712962962963" style="1" customWidth="1"/>
    <col min="12805" max="12805" width="43.5740740740741" style="1" customWidth="1"/>
    <col min="12806" max="12806" width="12.8518518518519" style="1" customWidth="1"/>
    <col min="12807" max="12808" width="27.1388888888889" style="1" customWidth="1"/>
    <col min="12809" max="12809" width="20.1388888888889" style="1" customWidth="1"/>
    <col min="12810" max="12811" width="18.287037037037" style="1" customWidth="1"/>
    <col min="12812" max="12812" width="24" style="1" customWidth="1"/>
    <col min="12813" max="12814" width="9.71296296296296" style="1" customWidth="1"/>
    <col min="12815" max="12816" width="11" style="1" hidden="1" customWidth="1"/>
    <col min="12817" max="12817" width="10.712962962963" style="1" customWidth="1"/>
    <col min="12818" max="13056" width="11.4259259259259" style="1"/>
    <col min="13057" max="13057" width="4.71296296296296" style="1" customWidth="1"/>
    <col min="13058" max="13058" width="3.71296296296296" style="1" customWidth="1"/>
    <col min="13059" max="13060" width="17.712962962963" style="1" customWidth="1"/>
    <col min="13061" max="13061" width="43.5740740740741" style="1" customWidth="1"/>
    <col min="13062" max="13062" width="12.8518518518519" style="1" customWidth="1"/>
    <col min="13063" max="13064" width="27.1388888888889" style="1" customWidth="1"/>
    <col min="13065" max="13065" width="20.1388888888889" style="1" customWidth="1"/>
    <col min="13066" max="13067" width="18.287037037037" style="1" customWidth="1"/>
    <col min="13068" max="13068" width="24" style="1" customWidth="1"/>
    <col min="13069" max="13070" width="9.71296296296296" style="1" customWidth="1"/>
    <col min="13071" max="13072" width="11" style="1" hidden="1" customWidth="1"/>
    <col min="13073" max="13073" width="10.712962962963" style="1" customWidth="1"/>
    <col min="13074" max="13312" width="11.4259259259259" style="1"/>
    <col min="13313" max="13313" width="4.71296296296296" style="1" customWidth="1"/>
    <col min="13314" max="13314" width="3.71296296296296" style="1" customWidth="1"/>
    <col min="13315" max="13316" width="17.712962962963" style="1" customWidth="1"/>
    <col min="13317" max="13317" width="43.5740740740741" style="1" customWidth="1"/>
    <col min="13318" max="13318" width="12.8518518518519" style="1" customWidth="1"/>
    <col min="13319" max="13320" width="27.1388888888889" style="1" customWidth="1"/>
    <col min="13321" max="13321" width="20.1388888888889" style="1" customWidth="1"/>
    <col min="13322" max="13323" width="18.287037037037" style="1" customWidth="1"/>
    <col min="13324" max="13324" width="24" style="1" customWidth="1"/>
    <col min="13325" max="13326" width="9.71296296296296" style="1" customWidth="1"/>
    <col min="13327" max="13328" width="11" style="1" hidden="1" customWidth="1"/>
    <col min="13329" max="13329" width="10.712962962963" style="1" customWidth="1"/>
    <col min="13330" max="13568" width="11.4259259259259" style="1"/>
    <col min="13569" max="13569" width="4.71296296296296" style="1" customWidth="1"/>
    <col min="13570" max="13570" width="3.71296296296296" style="1" customWidth="1"/>
    <col min="13571" max="13572" width="17.712962962963" style="1" customWidth="1"/>
    <col min="13573" max="13573" width="43.5740740740741" style="1" customWidth="1"/>
    <col min="13574" max="13574" width="12.8518518518519" style="1" customWidth="1"/>
    <col min="13575" max="13576" width="27.1388888888889" style="1" customWidth="1"/>
    <col min="13577" max="13577" width="20.1388888888889" style="1" customWidth="1"/>
    <col min="13578" max="13579" width="18.287037037037" style="1" customWidth="1"/>
    <col min="13580" max="13580" width="24" style="1" customWidth="1"/>
    <col min="13581" max="13582" width="9.71296296296296" style="1" customWidth="1"/>
    <col min="13583" max="13584" width="11" style="1" hidden="1" customWidth="1"/>
    <col min="13585" max="13585" width="10.712962962963" style="1" customWidth="1"/>
    <col min="13586" max="13824" width="11.4259259259259" style="1"/>
    <col min="13825" max="13825" width="4.71296296296296" style="1" customWidth="1"/>
    <col min="13826" max="13826" width="3.71296296296296" style="1" customWidth="1"/>
    <col min="13827" max="13828" width="17.712962962963" style="1" customWidth="1"/>
    <col min="13829" max="13829" width="43.5740740740741" style="1" customWidth="1"/>
    <col min="13830" max="13830" width="12.8518518518519" style="1" customWidth="1"/>
    <col min="13831" max="13832" width="27.1388888888889" style="1" customWidth="1"/>
    <col min="13833" max="13833" width="20.1388888888889" style="1" customWidth="1"/>
    <col min="13834" max="13835" width="18.287037037037" style="1" customWidth="1"/>
    <col min="13836" max="13836" width="24" style="1" customWidth="1"/>
    <col min="13837" max="13838" width="9.71296296296296" style="1" customWidth="1"/>
    <col min="13839" max="13840" width="11" style="1" hidden="1" customWidth="1"/>
    <col min="13841" max="13841" width="10.712962962963" style="1" customWidth="1"/>
    <col min="13842" max="14080" width="11.4259259259259" style="1"/>
    <col min="14081" max="14081" width="4.71296296296296" style="1" customWidth="1"/>
    <col min="14082" max="14082" width="3.71296296296296" style="1" customWidth="1"/>
    <col min="14083" max="14084" width="17.712962962963" style="1" customWidth="1"/>
    <col min="14085" max="14085" width="43.5740740740741" style="1" customWidth="1"/>
    <col min="14086" max="14086" width="12.8518518518519" style="1" customWidth="1"/>
    <col min="14087" max="14088" width="27.1388888888889" style="1" customWidth="1"/>
    <col min="14089" max="14089" width="20.1388888888889" style="1" customWidth="1"/>
    <col min="14090" max="14091" width="18.287037037037" style="1" customWidth="1"/>
    <col min="14092" max="14092" width="24" style="1" customWidth="1"/>
    <col min="14093" max="14094" width="9.71296296296296" style="1" customWidth="1"/>
    <col min="14095" max="14096" width="11" style="1" hidden="1" customWidth="1"/>
    <col min="14097" max="14097" width="10.712962962963" style="1" customWidth="1"/>
    <col min="14098" max="14336" width="11.4259259259259" style="1"/>
    <col min="14337" max="14337" width="4.71296296296296" style="1" customWidth="1"/>
    <col min="14338" max="14338" width="3.71296296296296" style="1" customWidth="1"/>
    <col min="14339" max="14340" width="17.712962962963" style="1" customWidth="1"/>
    <col min="14341" max="14341" width="43.5740740740741" style="1" customWidth="1"/>
    <col min="14342" max="14342" width="12.8518518518519" style="1" customWidth="1"/>
    <col min="14343" max="14344" width="27.1388888888889" style="1" customWidth="1"/>
    <col min="14345" max="14345" width="20.1388888888889" style="1" customWidth="1"/>
    <col min="14346" max="14347" width="18.287037037037" style="1" customWidth="1"/>
    <col min="14348" max="14348" width="24" style="1" customWidth="1"/>
    <col min="14349" max="14350" width="9.71296296296296" style="1" customWidth="1"/>
    <col min="14351" max="14352" width="11" style="1" hidden="1" customWidth="1"/>
    <col min="14353" max="14353" width="10.712962962963" style="1" customWidth="1"/>
    <col min="14354" max="14592" width="11.4259259259259" style="1"/>
    <col min="14593" max="14593" width="4.71296296296296" style="1" customWidth="1"/>
    <col min="14594" max="14594" width="3.71296296296296" style="1" customWidth="1"/>
    <col min="14595" max="14596" width="17.712962962963" style="1" customWidth="1"/>
    <col min="14597" max="14597" width="43.5740740740741" style="1" customWidth="1"/>
    <col min="14598" max="14598" width="12.8518518518519" style="1" customWidth="1"/>
    <col min="14599" max="14600" width="27.1388888888889" style="1" customWidth="1"/>
    <col min="14601" max="14601" width="20.1388888888889" style="1" customWidth="1"/>
    <col min="14602" max="14603" width="18.287037037037" style="1" customWidth="1"/>
    <col min="14604" max="14604" width="24" style="1" customWidth="1"/>
    <col min="14605" max="14606" width="9.71296296296296" style="1" customWidth="1"/>
    <col min="14607" max="14608" width="11" style="1" hidden="1" customWidth="1"/>
    <col min="14609" max="14609" width="10.712962962963" style="1" customWidth="1"/>
    <col min="14610" max="14848" width="11.4259259259259" style="1"/>
    <col min="14849" max="14849" width="4.71296296296296" style="1" customWidth="1"/>
    <col min="14850" max="14850" width="3.71296296296296" style="1" customWidth="1"/>
    <col min="14851" max="14852" width="17.712962962963" style="1" customWidth="1"/>
    <col min="14853" max="14853" width="43.5740740740741" style="1" customWidth="1"/>
    <col min="14854" max="14854" width="12.8518518518519" style="1" customWidth="1"/>
    <col min="14855" max="14856" width="27.1388888888889" style="1" customWidth="1"/>
    <col min="14857" max="14857" width="20.1388888888889" style="1" customWidth="1"/>
    <col min="14858" max="14859" width="18.287037037037" style="1" customWidth="1"/>
    <col min="14860" max="14860" width="24" style="1" customWidth="1"/>
    <col min="14861" max="14862" width="9.71296296296296" style="1" customWidth="1"/>
    <col min="14863" max="14864" width="11" style="1" hidden="1" customWidth="1"/>
    <col min="14865" max="14865" width="10.712962962963" style="1" customWidth="1"/>
    <col min="14866" max="15104" width="11.4259259259259" style="1"/>
    <col min="15105" max="15105" width="4.71296296296296" style="1" customWidth="1"/>
    <col min="15106" max="15106" width="3.71296296296296" style="1" customWidth="1"/>
    <col min="15107" max="15108" width="17.712962962963" style="1" customWidth="1"/>
    <col min="15109" max="15109" width="43.5740740740741" style="1" customWidth="1"/>
    <col min="15110" max="15110" width="12.8518518518519" style="1" customWidth="1"/>
    <col min="15111" max="15112" width="27.1388888888889" style="1" customWidth="1"/>
    <col min="15113" max="15113" width="20.1388888888889" style="1" customWidth="1"/>
    <col min="15114" max="15115" width="18.287037037037" style="1" customWidth="1"/>
    <col min="15116" max="15116" width="24" style="1" customWidth="1"/>
    <col min="15117" max="15118" width="9.71296296296296" style="1" customWidth="1"/>
    <col min="15119" max="15120" width="11" style="1" hidden="1" customWidth="1"/>
    <col min="15121" max="15121" width="10.712962962963" style="1" customWidth="1"/>
    <col min="15122" max="15360" width="11.4259259259259" style="1"/>
    <col min="15361" max="15361" width="4.71296296296296" style="1" customWidth="1"/>
    <col min="15362" max="15362" width="3.71296296296296" style="1" customWidth="1"/>
    <col min="15363" max="15364" width="17.712962962963" style="1" customWidth="1"/>
    <col min="15365" max="15365" width="43.5740740740741" style="1" customWidth="1"/>
    <col min="15366" max="15366" width="12.8518518518519" style="1" customWidth="1"/>
    <col min="15367" max="15368" width="27.1388888888889" style="1" customWidth="1"/>
    <col min="15369" max="15369" width="20.1388888888889" style="1" customWidth="1"/>
    <col min="15370" max="15371" width="18.287037037037" style="1" customWidth="1"/>
    <col min="15372" max="15372" width="24" style="1" customWidth="1"/>
    <col min="15373" max="15374" width="9.71296296296296" style="1" customWidth="1"/>
    <col min="15375" max="15376" width="11" style="1" hidden="1" customWidth="1"/>
    <col min="15377" max="15377" width="10.712962962963" style="1" customWidth="1"/>
    <col min="15378" max="15616" width="11.4259259259259" style="1"/>
    <col min="15617" max="15617" width="4.71296296296296" style="1" customWidth="1"/>
    <col min="15618" max="15618" width="3.71296296296296" style="1" customWidth="1"/>
    <col min="15619" max="15620" width="17.712962962963" style="1" customWidth="1"/>
    <col min="15621" max="15621" width="43.5740740740741" style="1" customWidth="1"/>
    <col min="15622" max="15622" width="12.8518518518519" style="1" customWidth="1"/>
    <col min="15623" max="15624" width="27.1388888888889" style="1" customWidth="1"/>
    <col min="15625" max="15625" width="20.1388888888889" style="1" customWidth="1"/>
    <col min="15626" max="15627" width="18.287037037037" style="1" customWidth="1"/>
    <col min="15628" max="15628" width="24" style="1" customWidth="1"/>
    <col min="15629" max="15630" width="9.71296296296296" style="1" customWidth="1"/>
    <col min="15631" max="15632" width="11" style="1" hidden="1" customWidth="1"/>
    <col min="15633" max="15633" width="10.712962962963" style="1" customWidth="1"/>
    <col min="15634" max="15872" width="11.4259259259259" style="1"/>
    <col min="15873" max="15873" width="4.71296296296296" style="1" customWidth="1"/>
    <col min="15874" max="15874" width="3.71296296296296" style="1" customWidth="1"/>
    <col min="15875" max="15876" width="17.712962962963" style="1" customWidth="1"/>
    <col min="15877" max="15877" width="43.5740740740741" style="1" customWidth="1"/>
    <col min="15878" max="15878" width="12.8518518518519" style="1" customWidth="1"/>
    <col min="15879" max="15880" width="27.1388888888889" style="1" customWidth="1"/>
    <col min="15881" max="15881" width="20.1388888888889" style="1" customWidth="1"/>
    <col min="15882" max="15883" width="18.287037037037" style="1" customWidth="1"/>
    <col min="15884" max="15884" width="24" style="1" customWidth="1"/>
    <col min="15885" max="15886" width="9.71296296296296" style="1" customWidth="1"/>
    <col min="15887" max="15888" width="11" style="1" hidden="1" customWidth="1"/>
    <col min="15889" max="15889" width="10.712962962963" style="1" customWidth="1"/>
    <col min="15890" max="16128" width="11.4259259259259" style="1"/>
    <col min="16129" max="16129" width="4.71296296296296" style="1" customWidth="1"/>
    <col min="16130" max="16130" width="3.71296296296296" style="1" customWidth="1"/>
    <col min="16131" max="16132" width="17.712962962963" style="1" customWidth="1"/>
    <col min="16133" max="16133" width="43.5740740740741" style="1" customWidth="1"/>
    <col min="16134" max="16134" width="12.8518518518519" style="1" customWidth="1"/>
    <col min="16135" max="16136" width="27.1388888888889" style="1" customWidth="1"/>
    <col min="16137" max="16137" width="20.1388888888889" style="1" customWidth="1"/>
    <col min="16138" max="16139" width="18.287037037037" style="1" customWidth="1"/>
    <col min="16140" max="16140" width="24" style="1" customWidth="1"/>
    <col min="16141" max="16142" width="9.71296296296296" style="1" customWidth="1"/>
    <col min="16143" max="16144" width="11" style="1" hidden="1" customWidth="1"/>
    <col min="16145" max="16145" width="10.712962962963" style="1" customWidth="1"/>
    <col min="16146" max="16384" width="11.4259259259259" style="1"/>
  </cols>
  <sheetData>
    <row r="1" spans="2:8">
      <c r="B1" s="3"/>
      <c r="C1" s="3"/>
      <c r="D1" s="4"/>
      <c r="E1" s="3"/>
      <c r="F1" s="3"/>
      <c r="G1" s="5"/>
      <c r="H1" s="5"/>
    </row>
    <row r="2" spans="2:8">
      <c r="B2" s="3" t="s">
        <v>165</v>
      </c>
      <c r="C2" s="3"/>
      <c r="D2" s="4"/>
      <c r="E2" s="3"/>
      <c r="F2" s="3"/>
      <c r="G2" s="5"/>
      <c r="H2" s="5"/>
    </row>
    <row r="3" spans="2:8">
      <c r="B3" s="3" t="s">
        <v>166</v>
      </c>
      <c r="C3" s="3"/>
      <c r="D3" s="4"/>
      <c r="E3" s="3"/>
      <c r="F3" s="3"/>
      <c r="G3" s="5"/>
      <c r="H3" s="5"/>
    </row>
    <row r="4" ht="15.15" spans="2:8">
      <c r="B4" s="3"/>
      <c r="C4" s="3"/>
      <c r="D4" s="4"/>
      <c r="E4" s="3"/>
      <c r="F4" s="3"/>
      <c r="G4" s="5"/>
      <c r="H4" s="5"/>
    </row>
    <row r="5" ht="15.9" spans="2:17">
      <c r="B5" s="3"/>
      <c r="C5" s="3"/>
      <c r="D5" s="4"/>
      <c r="E5" s="6" t="s">
        <v>167</v>
      </c>
      <c r="F5" s="7" t="s">
        <v>168</v>
      </c>
      <c r="G5" s="8" t="s">
        <v>169</v>
      </c>
      <c r="H5" s="9" t="s">
        <v>170</v>
      </c>
      <c r="I5" s="9" t="s">
        <v>171</v>
      </c>
      <c r="J5" s="9" t="s">
        <v>172</v>
      </c>
      <c r="K5" s="9"/>
      <c r="L5" s="68" t="s">
        <v>173</v>
      </c>
      <c r="M5" s="69" t="s">
        <v>174</v>
      </c>
      <c r="N5" s="9"/>
      <c r="O5" s="68" t="s">
        <v>175</v>
      </c>
      <c r="P5" s="68" t="s">
        <v>176</v>
      </c>
      <c r="Q5" s="107" t="s">
        <v>177</v>
      </c>
    </row>
    <row r="6" ht="15.15" spans="2:17">
      <c r="B6" s="3">
        <v>1</v>
      </c>
      <c r="C6" s="10" t="s">
        <v>178</v>
      </c>
      <c r="D6" s="11"/>
      <c r="E6" s="12" t="s">
        <v>179</v>
      </c>
      <c r="F6" s="13"/>
      <c r="G6" s="14" t="s">
        <v>180</v>
      </c>
      <c r="H6" s="15"/>
      <c r="I6" s="15">
        <v>66000</v>
      </c>
      <c r="J6" s="15"/>
      <c r="K6" s="15"/>
      <c r="L6" s="15"/>
      <c r="M6" s="70"/>
      <c r="N6" s="71"/>
      <c r="O6" s="72"/>
      <c r="P6" s="73"/>
      <c r="Q6" s="108"/>
    </row>
    <row r="7" ht="15.15" spans="2:17">
      <c r="B7" s="3">
        <v>2</v>
      </c>
      <c r="C7" s="10" t="s">
        <v>181</v>
      </c>
      <c r="D7" s="16">
        <v>31000</v>
      </c>
      <c r="E7" s="17" t="s">
        <v>182</v>
      </c>
      <c r="F7" s="18">
        <v>44502</v>
      </c>
      <c r="G7" s="19" t="s">
        <v>183</v>
      </c>
      <c r="H7" s="20">
        <v>27447.84</v>
      </c>
      <c r="I7" s="20">
        <v>31000</v>
      </c>
      <c r="J7" s="20">
        <f>I7-H7</f>
        <v>3552.16</v>
      </c>
      <c r="K7" s="74">
        <f>J7/H7</f>
        <v>0.129414919352488</v>
      </c>
      <c r="L7" s="20">
        <f>I7*0.3357</f>
        <v>10406.7</v>
      </c>
      <c r="M7" s="75"/>
      <c r="N7" s="76"/>
      <c r="O7" s="72"/>
      <c r="P7" s="73"/>
      <c r="Q7" s="108"/>
    </row>
    <row r="8" spans="2:17">
      <c r="B8" s="3">
        <v>3</v>
      </c>
      <c r="C8" s="259" t="s">
        <v>184</v>
      </c>
      <c r="D8" s="22">
        <v>28000</v>
      </c>
      <c r="E8" s="23" t="s">
        <v>185</v>
      </c>
      <c r="F8" s="24">
        <v>33004</v>
      </c>
      <c r="G8" s="25" t="s">
        <v>186</v>
      </c>
      <c r="H8" s="26">
        <v>37602</v>
      </c>
      <c r="I8" s="15">
        <f>(H8*0.02)+H8</f>
        <v>38354.04</v>
      </c>
      <c r="J8" s="15">
        <f>I8-H8</f>
        <v>752.040000000001</v>
      </c>
      <c r="K8" s="77">
        <f t="shared" ref="K8:K26" si="0">J8/H8</f>
        <v>0.02</v>
      </c>
      <c r="L8" s="26">
        <f t="shared" ref="L8:L30" si="1">I8*0.3357</f>
        <v>12875.451228</v>
      </c>
      <c r="M8" s="78"/>
      <c r="N8" s="79"/>
      <c r="O8" s="80"/>
      <c r="P8" s="78"/>
      <c r="Q8" s="79"/>
    </row>
    <row r="9" ht="15.15" spans="2:17">
      <c r="B9" s="3">
        <v>4</v>
      </c>
      <c r="C9" s="27"/>
      <c r="D9" s="28"/>
      <c r="E9" s="29" t="s">
        <v>187</v>
      </c>
      <c r="F9" s="30"/>
      <c r="G9" s="31"/>
      <c r="H9" s="32"/>
      <c r="I9" s="32">
        <v>28000</v>
      </c>
      <c r="J9" s="60">
        <f t="shared" ref="J9:J27" si="2">I9-H9</f>
        <v>28000</v>
      </c>
      <c r="K9" s="81"/>
      <c r="L9" s="32">
        <f t="shared" si="1"/>
        <v>9399.6</v>
      </c>
      <c r="M9" s="82"/>
      <c r="N9" s="83"/>
      <c r="O9" s="84"/>
      <c r="P9" s="82"/>
      <c r="Q9" s="83"/>
    </row>
    <row r="10" spans="2:17">
      <c r="B10" s="3">
        <v>5</v>
      </c>
      <c r="C10" s="260" t="s">
        <v>188</v>
      </c>
      <c r="D10" s="34">
        <v>23000</v>
      </c>
      <c r="E10" s="12" t="s">
        <v>189</v>
      </c>
      <c r="F10" s="35">
        <v>38061</v>
      </c>
      <c r="G10" s="14"/>
      <c r="H10" s="15">
        <v>31692.84</v>
      </c>
      <c r="I10" s="15">
        <f>(H10*0.02)+H10</f>
        <v>32326.6968</v>
      </c>
      <c r="J10" s="15">
        <f t="shared" si="2"/>
        <v>633.856800000001</v>
      </c>
      <c r="K10" s="77">
        <f t="shared" si="0"/>
        <v>0.02</v>
      </c>
      <c r="L10" s="26">
        <f t="shared" si="1"/>
        <v>10852.07211576</v>
      </c>
      <c r="M10" s="78"/>
      <c r="N10" s="71"/>
      <c r="O10" s="85"/>
      <c r="P10" s="70"/>
      <c r="Q10" s="79"/>
    </row>
    <row r="11" spans="2:17">
      <c r="B11" s="3">
        <v>6</v>
      </c>
      <c r="C11" s="36"/>
      <c r="D11" s="37"/>
      <c r="E11" s="38" t="s">
        <v>190</v>
      </c>
      <c r="F11" s="39">
        <v>40812</v>
      </c>
      <c r="G11" s="40" t="s">
        <v>191</v>
      </c>
      <c r="H11" s="41">
        <v>22477.44</v>
      </c>
      <c r="I11" s="41">
        <v>23500</v>
      </c>
      <c r="J11" s="41">
        <f t="shared" si="2"/>
        <v>1022.56</v>
      </c>
      <c r="K11" s="86">
        <f t="shared" si="0"/>
        <v>0.0454927251501951</v>
      </c>
      <c r="L11" s="87">
        <f t="shared" si="1"/>
        <v>7888.95</v>
      </c>
      <c r="M11" s="88"/>
      <c r="N11" s="89"/>
      <c r="O11" s="90"/>
      <c r="P11" s="91"/>
      <c r="Q11" s="92"/>
    </row>
    <row r="12" spans="2:17">
      <c r="B12" s="3">
        <v>7</v>
      </c>
      <c r="C12" s="36"/>
      <c r="D12" s="37"/>
      <c r="E12" s="42" t="s">
        <v>192</v>
      </c>
      <c r="F12" s="43">
        <v>41631</v>
      </c>
      <c r="G12" s="44"/>
      <c r="H12" s="41">
        <v>24276</v>
      </c>
      <c r="I12" s="41">
        <f>(H12*0.03)+H12</f>
        <v>25004.28</v>
      </c>
      <c r="J12" s="41">
        <f t="shared" si="2"/>
        <v>728.279999999999</v>
      </c>
      <c r="K12" s="86">
        <f t="shared" si="0"/>
        <v>0.03</v>
      </c>
      <c r="L12" s="87">
        <f t="shared" si="1"/>
        <v>8393.936796</v>
      </c>
      <c r="M12" s="88"/>
      <c r="N12" s="92"/>
      <c r="O12" s="93"/>
      <c r="P12" s="88"/>
      <c r="Q12" s="92"/>
    </row>
    <row r="13" spans="2:17">
      <c r="B13" s="3"/>
      <c r="C13" s="36"/>
      <c r="D13" s="37"/>
      <c r="E13" s="45"/>
      <c r="F13" s="46"/>
      <c r="G13" s="47"/>
      <c r="H13" s="48"/>
      <c r="I13" s="48"/>
      <c r="J13" s="41">
        <f t="shared" si="2"/>
        <v>0</v>
      </c>
      <c r="K13" s="86"/>
      <c r="L13" s="48">
        <f t="shared" si="1"/>
        <v>0</v>
      </c>
      <c r="M13" s="46"/>
      <c r="N13" s="94"/>
      <c r="O13" s="95"/>
      <c r="P13" s="46"/>
      <c r="Q13" s="109"/>
    </row>
    <row r="14" ht="15.15" spans="2:17">
      <c r="B14" s="3"/>
      <c r="C14" s="49"/>
      <c r="D14" s="50"/>
      <c r="E14" s="51"/>
      <c r="F14" s="30"/>
      <c r="G14" s="52"/>
      <c r="H14" s="53"/>
      <c r="I14" s="53"/>
      <c r="J14" s="60">
        <f t="shared" si="2"/>
        <v>0</v>
      </c>
      <c r="K14" s="81"/>
      <c r="L14" s="32">
        <f t="shared" si="1"/>
        <v>0</v>
      </c>
      <c r="M14" s="82"/>
      <c r="N14" s="83"/>
      <c r="O14" s="84"/>
      <c r="P14" s="82"/>
      <c r="Q14" s="83"/>
    </row>
    <row r="15" spans="2:17">
      <c r="B15" s="3">
        <v>8</v>
      </c>
      <c r="C15" s="261" t="s">
        <v>193</v>
      </c>
      <c r="D15" s="22">
        <v>21000</v>
      </c>
      <c r="E15" s="23" t="s">
        <v>194</v>
      </c>
      <c r="F15" s="24">
        <v>38869</v>
      </c>
      <c r="G15" s="25"/>
      <c r="H15" s="15">
        <v>25757.28</v>
      </c>
      <c r="I15" s="15">
        <f>(H15*0.02)+H15</f>
        <v>26272.4256</v>
      </c>
      <c r="J15" s="15">
        <f t="shared" si="2"/>
        <v>515.1456</v>
      </c>
      <c r="K15" s="77">
        <f t="shared" si="0"/>
        <v>0.02</v>
      </c>
      <c r="L15" s="26">
        <f t="shared" si="1"/>
        <v>8819.65327392</v>
      </c>
      <c r="M15" s="78"/>
      <c r="N15" s="79"/>
      <c r="O15" s="80"/>
      <c r="P15" s="78"/>
      <c r="Q15" s="79"/>
    </row>
    <row r="16" spans="2:17">
      <c r="B16" s="3">
        <v>9</v>
      </c>
      <c r="C16" s="55"/>
      <c r="D16" s="56"/>
      <c r="E16" s="42" t="s">
        <v>195</v>
      </c>
      <c r="F16" s="43">
        <v>42415</v>
      </c>
      <c r="G16" s="44"/>
      <c r="H16" s="41">
        <v>19100.16</v>
      </c>
      <c r="I16" s="41">
        <v>21000</v>
      </c>
      <c r="J16" s="41">
        <f t="shared" si="2"/>
        <v>1899.84</v>
      </c>
      <c r="K16" s="86">
        <f t="shared" si="0"/>
        <v>0.0994672295938882</v>
      </c>
      <c r="L16" s="87">
        <f t="shared" si="1"/>
        <v>7049.7</v>
      </c>
      <c r="M16" s="88"/>
      <c r="N16" s="92"/>
      <c r="O16" s="93"/>
      <c r="P16" s="88"/>
      <c r="Q16" s="92"/>
    </row>
    <row r="17" spans="2:17">
      <c r="B17" s="3">
        <v>10</v>
      </c>
      <c r="C17" s="55"/>
      <c r="D17" s="56"/>
      <c r="E17" s="38" t="s">
        <v>196</v>
      </c>
      <c r="F17" s="39">
        <v>43360</v>
      </c>
      <c r="G17" s="40" t="s">
        <v>197</v>
      </c>
      <c r="H17" s="41">
        <v>20913.72</v>
      </c>
      <c r="I17" s="41">
        <v>23000</v>
      </c>
      <c r="J17" s="41">
        <f t="shared" si="2"/>
        <v>2086.28</v>
      </c>
      <c r="K17" s="86">
        <f t="shared" si="0"/>
        <v>0.0997565234688041</v>
      </c>
      <c r="L17" s="87">
        <f t="shared" si="1"/>
        <v>7721.1</v>
      </c>
      <c r="M17" s="88"/>
      <c r="N17" s="89"/>
      <c r="O17" s="90"/>
      <c r="P17" s="91"/>
      <c r="Q17" s="92"/>
    </row>
    <row r="18" spans="2:17">
      <c r="B18" s="3"/>
      <c r="C18" s="55"/>
      <c r="D18" s="56"/>
      <c r="E18" s="45" t="s">
        <v>198</v>
      </c>
      <c r="F18" s="39"/>
      <c r="G18" s="40"/>
      <c r="H18" s="41"/>
      <c r="I18" s="41"/>
      <c r="J18" s="41">
        <f t="shared" si="2"/>
        <v>0</v>
      </c>
      <c r="K18" s="86"/>
      <c r="L18" s="87">
        <f t="shared" si="1"/>
        <v>0</v>
      </c>
      <c r="M18" s="88"/>
      <c r="N18" s="89"/>
      <c r="O18" s="90"/>
      <c r="P18" s="91"/>
      <c r="Q18" s="92"/>
    </row>
    <row r="19" ht="15.15" spans="2:17">
      <c r="B19" s="3"/>
      <c r="C19" s="57"/>
      <c r="D19" s="28"/>
      <c r="E19" s="51"/>
      <c r="F19" s="58"/>
      <c r="G19" s="59"/>
      <c r="H19" s="60"/>
      <c r="I19" s="60"/>
      <c r="J19" s="60">
        <f t="shared" si="2"/>
        <v>0</v>
      </c>
      <c r="K19" s="81"/>
      <c r="L19" s="32">
        <f t="shared" si="1"/>
        <v>0</v>
      </c>
      <c r="M19" s="82"/>
      <c r="N19" s="96"/>
      <c r="O19" s="97"/>
      <c r="P19" s="98"/>
      <c r="Q19" s="83"/>
    </row>
    <row r="20" spans="2:17">
      <c r="B20" s="3">
        <v>11</v>
      </c>
      <c r="C20" s="260" t="s">
        <v>199</v>
      </c>
      <c r="D20" s="34">
        <v>18500</v>
      </c>
      <c r="E20" s="61" t="s">
        <v>200</v>
      </c>
      <c r="F20" s="62">
        <v>45444</v>
      </c>
      <c r="G20" s="63" t="s">
        <v>201</v>
      </c>
      <c r="H20" s="64">
        <v>9260.64</v>
      </c>
      <c r="I20" s="64">
        <v>18500</v>
      </c>
      <c r="J20" s="64">
        <f t="shared" si="2"/>
        <v>9239.36</v>
      </c>
      <c r="K20" s="99">
        <f t="shared" si="0"/>
        <v>0.997702102662451</v>
      </c>
      <c r="L20" s="100">
        <f t="shared" si="1"/>
        <v>6210.45</v>
      </c>
      <c r="M20" s="101"/>
      <c r="N20" s="102"/>
      <c r="O20" s="85"/>
      <c r="P20" s="70"/>
      <c r="Q20" s="79"/>
    </row>
    <row r="21" spans="2:17">
      <c r="B21" s="3">
        <v>12</v>
      </c>
      <c r="C21" s="36"/>
      <c r="D21" s="37"/>
      <c r="E21" s="38" t="s">
        <v>202</v>
      </c>
      <c r="F21" s="39">
        <v>45719</v>
      </c>
      <c r="G21" s="40"/>
      <c r="H21" s="41">
        <v>17401.2</v>
      </c>
      <c r="I21" s="41">
        <v>18500</v>
      </c>
      <c r="J21" s="41">
        <f t="shared" si="2"/>
        <v>1098.8</v>
      </c>
      <c r="K21" s="86">
        <f t="shared" si="0"/>
        <v>0.0631450704549113</v>
      </c>
      <c r="L21" s="87">
        <f t="shared" si="1"/>
        <v>6210.45</v>
      </c>
      <c r="M21" s="88"/>
      <c r="N21" s="89"/>
      <c r="O21" s="90"/>
      <c r="P21" s="91"/>
      <c r="Q21" s="92"/>
    </row>
    <row r="22" spans="2:17">
      <c r="B22" s="3">
        <v>13</v>
      </c>
      <c r="C22" s="36"/>
      <c r="D22" s="37"/>
      <c r="E22" s="38" t="s">
        <v>203</v>
      </c>
      <c r="F22" s="39">
        <v>45831</v>
      </c>
      <c r="G22" s="40"/>
      <c r="H22" s="41">
        <v>18311.52</v>
      </c>
      <c r="I22" s="41">
        <v>18500</v>
      </c>
      <c r="J22" s="41">
        <f t="shared" si="2"/>
        <v>188.48</v>
      </c>
      <c r="K22" s="86">
        <f t="shared" si="0"/>
        <v>0.0102929740403855</v>
      </c>
      <c r="L22" s="87">
        <f t="shared" si="1"/>
        <v>6210.45</v>
      </c>
      <c r="M22" s="88"/>
      <c r="N22" s="89"/>
      <c r="O22" s="90"/>
      <c r="P22" s="91"/>
      <c r="Q22" s="92"/>
    </row>
    <row r="23" spans="2:17">
      <c r="B23" s="3">
        <v>14</v>
      </c>
      <c r="C23" s="36"/>
      <c r="D23" s="37"/>
      <c r="E23" s="38" t="s">
        <v>204</v>
      </c>
      <c r="F23" s="39">
        <v>45831</v>
      </c>
      <c r="G23" s="40"/>
      <c r="H23" s="41">
        <v>17401.2</v>
      </c>
      <c r="I23" s="41">
        <v>18500</v>
      </c>
      <c r="J23" s="41">
        <f t="shared" si="2"/>
        <v>1098.8</v>
      </c>
      <c r="K23" s="86">
        <f t="shared" si="0"/>
        <v>0.0631450704549113</v>
      </c>
      <c r="L23" s="87">
        <f t="shared" si="1"/>
        <v>6210.45</v>
      </c>
      <c r="M23" s="88"/>
      <c r="N23" s="89"/>
      <c r="O23" s="90"/>
      <c r="P23" s="91"/>
      <c r="Q23" s="92"/>
    </row>
    <row r="24" spans="2:17">
      <c r="B24" s="3">
        <v>15</v>
      </c>
      <c r="C24" s="36"/>
      <c r="D24" s="37"/>
      <c r="E24" s="38" t="s">
        <v>205</v>
      </c>
      <c r="F24" s="39">
        <v>45870</v>
      </c>
      <c r="G24" s="40"/>
      <c r="H24" s="41">
        <v>17401.2</v>
      </c>
      <c r="I24" s="41">
        <v>18500</v>
      </c>
      <c r="J24" s="41">
        <f t="shared" si="2"/>
        <v>1098.8</v>
      </c>
      <c r="K24" s="86">
        <f t="shared" si="0"/>
        <v>0.0631450704549113</v>
      </c>
      <c r="L24" s="87">
        <f t="shared" si="1"/>
        <v>6210.45</v>
      </c>
      <c r="M24" s="88"/>
      <c r="N24" s="89"/>
      <c r="O24" s="90"/>
      <c r="P24" s="91"/>
      <c r="Q24" s="89"/>
    </row>
    <row r="25" spans="2:17">
      <c r="B25" s="3">
        <v>16</v>
      </c>
      <c r="C25" s="36"/>
      <c r="D25" s="37"/>
      <c r="E25" s="38" t="s">
        <v>206</v>
      </c>
      <c r="F25" s="39">
        <v>45957</v>
      </c>
      <c r="G25" s="40"/>
      <c r="H25" s="41">
        <v>17401.2</v>
      </c>
      <c r="I25" s="41">
        <v>18500</v>
      </c>
      <c r="J25" s="41">
        <f t="shared" si="2"/>
        <v>1098.8</v>
      </c>
      <c r="K25" s="86">
        <f t="shared" si="0"/>
        <v>0.0631450704549111</v>
      </c>
      <c r="L25" s="87">
        <f t="shared" si="1"/>
        <v>6210.45</v>
      </c>
      <c r="M25" s="88"/>
      <c r="N25" s="89"/>
      <c r="O25" s="90"/>
      <c r="P25" s="91"/>
      <c r="Q25" s="89"/>
    </row>
    <row r="26" spans="2:17">
      <c r="B26" s="3">
        <v>17</v>
      </c>
      <c r="C26" s="36"/>
      <c r="D26" s="37"/>
      <c r="E26" s="38" t="s">
        <v>207</v>
      </c>
      <c r="F26" s="39">
        <v>45957</v>
      </c>
      <c r="G26" s="40"/>
      <c r="H26" s="41">
        <v>17401.2</v>
      </c>
      <c r="I26" s="41">
        <v>18500</v>
      </c>
      <c r="J26" s="41">
        <f t="shared" si="2"/>
        <v>1098.8</v>
      </c>
      <c r="K26" s="86">
        <f t="shared" si="0"/>
        <v>0.0631450704549113</v>
      </c>
      <c r="L26" s="87">
        <f t="shared" si="1"/>
        <v>6210.45</v>
      </c>
      <c r="M26" s="88"/>
      <c r="N26" s="89"/>
      <c r="O26" s="90"/>
      <c r="P26" s="91"/>
      <c r="Q26" s="89"/>
    </row>
    <row r="27" spans="2:17">
      <c r="B27" s="3">
        <v>18</v>
      </c>
      <c r="C27" s="36"/>
      <c r="D27" s="37"/>
      <c r="E27" s="45" t="s">
        <v>198</v>
      </c>
      <c r="F27" s="39"/>
      <c r="G27" s="40"/>
      <c r="H27" s="40"/>
      <c r="I27" s="41">
        <v>18500</v>
      </c>
      <c r="J27" s="41">
        <f t="shared" si="2"/>
        <v>18500</v>
      </c>
      <c r="K27" s="86"/>
      <c r="L27" s="87">
        <f t="shared" si="1"/>
        <v>6210.45</v>
      </c>
      <c r="M27" s="88"/>
      <c r="N27" s="89"/>
      <c r="O27" s="90"/>
      <c r="P27" s="91"/>
      <c r="Q27" s="89"/>
    </row>
    <row r="28" spans="2:17">
      <c r="B28" s="3">
        <v>19</v>
      </c>
      <c r="C28" s="36"/>
      <c r="D28" s="37"/>
      <c r="E28" s="45"/>
      <c r="F28" s="39"/>
      <c r="G28" s="40"/>
      <c r="H28" s="40"/>
      <c r="I28" s="41"/>
      <c r="J28" s="41"/>
      <c r="K28" s="41"/>
      <c r="L28" s="87">
        <f t="shared" si="1"/>
        <v>0</v>
      </c>
      <c r="M28" s="88"/>
      <c r="N28" s="89"/>
      <c r="O28" s="90"/>
      <c r="P28" s="91"/>
      <c r="Q28" s="89"/>
    </row>
    <row r="29" ht="15.15" spans="2:17">
      <c r="B29" s="3">
        <v>20</v>
      </c>
      <c r="C29" s="49"/>
      <c r="D29" s="50"/>
      <c r="E29" s="65"/>
      <c r="F29" s="58"/>
      <c r="G29" s="59"/>
      <c r="H29" s="59"/>
      <c r="I29" s="60"/>
      <c r="J29" s="60"/>
      <c r="K29" s="60"/>
      <c r="L29" s="32">
        <f t="shared" si="1"/>
        <v>0</v>
      </c>
      <c r="M29" s="82"/>
      <c r="N29" s="96"/>
      <c r="O29" s="97"/>
      <c r="P29" s="98"/>
      <c r="Q29" s="96"/>
    </row>
    <row r="30" spans="2:17">
      <c r="B30" s="3"/>
      <c r="C30" s="3"/>
      <c r="D30" s="4"/>
      <c r="E30" s="3"/>
      <c r="F30" s="3"/>
      <c r="G30" s="66"/>
      <c r="H30" s="66"/>
      <c r="I30" s="103"/>
      <c r="J30" s="103"/>
      <c r="K30" s="103"/>
      <c r="L30" s="103">
        <f t="shared" si="1"/>
        <v>0</v>
      </c>
      <c r="M30" s="104"/>
      <c r="N30" s="104"/>
      <c r="O30" s="104"/>
      <c r="P30" s="104"/>
      <c r="Q30" s="104">
        <f>I30+L30</f>
        <v>0</v>
      </c>
    </row>
    <row r="31" spans="2:17">
      <c r="B31" s="3"/>
      <c r="D31" s="4"/>
      <c r="E31" s="67" t="s">
        <v>208</v>
      </c>
      <c r="F31" s="3"/>
      <c r="G31" s="66">
        <f>SUM(G6:G29)</f>
        <v>0</v>
      </c>
      <c r="H31" s="66"/>
      <c r="I31" s="105">
        <f>SUM(I6:I29)</f>
        <v>462457.4424</v>
      </c>
      <c r="J31" s="105"/>
      <c r="K31" s="105"/>
      <c r="L31" s="103">
        <f>SUM(L6:L29)</f>
        <v>133090.76341368</v>
      </c>
      <c r="M31" s="106"/>
      <c r="N31" s="104">
        <v>10000</v>
      </c>
      <c r="O31" s="104"/>
      <c r="P31" s="104"/>
      <c r="Q31" s="110">
        <f>I31+L31+N31</f>
        <v>605548.20581368</v>
      </c>
    </row>
  </sheetData>
  <mergeCells count="9">
    <mergeCell ref="M5:N5"/>
    <mergeCell ref="C8:C9"/>
    <mergeCell ref="C10:C14"/>
    <mergeCell ref="C15:C19"/>
    <mergeCell ref="C20:C29"/>
    <mergeCell ref="D8:D9"/>
    <mergeCell ref="D10:D14"/>
    <mergeCell ref="D15:D19"/>
    <mergeCell ref="D20:D2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Main Sheet</vt:lpstr>
      <vt:lpstr>Members</vt:lpstr>
      <vt:lpstr>Marketing</vt:lpstr>
      <vt:lpstr>GK Budget</vt:lpstr>
      <vt:lpstr>Groundstaff salary and catg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Ramos</dc:creator>
  <cp:lastModifiedBy>Barry Kirk</cp:lastModifiedBy>
  <dcterms:created xsi:type="dcterms:W3CDTF">2025-12-19T16:19:00Z</dcterms:created>
  <cp:lastPrinted>2026-01-28T08:49:00Z</cp:lastPrinted>
  <dcterms:modified xsi:type="dcterms:W3CDTF">2026-01-30T06:51:02Z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274C2DACF1F54C349D64555E85AF924D_12</vt:lpwstr>
  </property>
  <property fmtid="{D5CDD505-2E9C-101B-9397-08002B2CF9AE}" pid="3" name="KSOProductBuildVer">
    <vt:lpwstr>2057-12.2.0.23196</vt:lpwstr>
  </property>
</Properties>
</file>